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nagonal A" sheetId="1" r:id="rId4"/>
    <sheet state="visible" name="Nonagonal B" sheetId="2" r:id="rId5"/>
    <sheet state="visible" name="Reválida A" sheetId="3" r:id="rId6"/>
    <sheet state="visible" name="Reválida B" sheetId="4" r:id="rId7"/>
    <sheet state="visible" name="Reválida - 2da Etapa" sheetId="5" r:id="rId8"/>
  </sheets>
  <definedNames/>
  <calcPr/>
</workbook>
</file>

<file path=xl/sharedStrings.xml><?xml version="1.0" encoding="utf-8"?>
<sst xmlns="http://schemas.openxmlformats.org/spreadsheetml/2006/main" count="332" uniqueCount="66">
  <si>
    <r>
      <rPr>
        <rFont val="Arial"/>
        <b/>
      </rPr>
      <t xml:space="preserve">Nonagonal A | </t>
    </r>
    <r>
      <rPr>
        <rFont val="Arial"/>
        <b val="0"/>
        <color rgb="FF1155CC"/>
        <u/>
      </rPr>
      <t>https://interiorfutbolero.com.ar/</t>
    </r>
  </si>
  <si>
    <t>Fecha 8</t>
  </si>
  <si>
    <t>J</t>
  </si>
  <si>
    <t>PL</t>
  </si>
  <si>
    <t>PV</t>
  </si>
  <si>
    <t>#</t>
  </si>
  <si>
    <t>Equipo</t>
  </si>
  <si>
    <t>Pts.</t>
  </si>
  <si>
    <t>PJ</t>
  </si>
  <si>
    <t>PG</t>
  </si>
  <si>
    <t>PE</t>
  </si>
  <si>
    <t>PP</t>
  </si>
  <si>
    <t>GF</t>
  </si>
  <si>
    <t>GC</t>
  </si>
  <si>
    <t>Dif</t>
  </si>
  <si>
    <t>Ciudad Bolívar</t>
  </si>
  <si>
    <t>Germinal (R)</t>
  </si>
  <si>
    <t>Kimberley (MdP)</t>
  </si>
  <si>
    <t>Argentino (MM)</t>
  </si>
  <si>
    <t>Villa Mitre (BB)</t>
  </si>
  <si>
    <t>Camioneros</t>
  </si>
  <si>
    <t>Gutiérrez (M)</t>
  </si>
  <si>
    <t>Olimpo (BB)</t>
  </si>
  <si>
    <t>Fecha 9</t>
  </si>
  <si>
    <t>Santamarina</t>
  </si>
  <si>
    <t>https://cafecito.app/interiorfutbolero</t>
  </si>
  <si>
    <t>Tabla de posiciones</t>
  </si>
  <si>
    <t>Jugador</t>
  </si>
  <si>
    <r>
      <rPr>
        <rFont val="Arial"/>
        <b/>
      </rPr>
      <t xml:space="preserve">Nonagonal B | </t>
    </r>
    <r>
      <rPr>
        <rFont val="Arial"/>
        <b val="0"/>
        <color rgb="FF1155CC"/>
        <u/>
      </rPr>
      <t>https://interiorfutbolero.com.ar/</t>
    </r>
  </si>
  <si>
    <t>Sp. Belgrano (SF)</t>
  </si>
  <si>
    <t>San Martín (F)</t>
  </si>
  <si>
    <t>Atenas (RC)</t>
  </si>
  <si>
    <t>Def. de Belgrano (VR)</t>
  </si>
  <si>
    <t>Sp. Las Parejas</t>
  </si>
  <si>
    <t>Sarmiento (LB)</t>
  </si>
  <si>
    <t>Sol de América (F)</t>
  </si>
  <si>
    <t>9 de Julio (R)</t>
  </si>
  <si>
    <t>Central Norte (S)</t>
  </si>
  <si>
    <r>
      <rPr>
        <rFont val="Arial"/>
        <b/>
      </rPr>
      <t xml:space="preserve">Reválida A | </t>
    </r>
    <r>
      <rPr>
        <rFont val="Arial"/>
        <b val="0"/>
        <color rgb="FF1155CC"/>
        <u/>
      </rPr>
      <t>https://interiorfutbolero.com.ar/</t>
    </r>
  </si>
  <si>
    <t>Juv. Unida (SL)</t>
  </si>
  <si>
    <t>Cipolletti</t>
  </si>
  <si>
    <t>Ferro (GP)</t>
  </si>
  <si>
    <t>Círculo Dep.</t>
  </si>
  <si>
    <t>San Martín (M)</t>
  </si>
  <si>
    <t>Estudiantes (SL)</t>
  </si>
  <si>
    <t>Huracán (LH)</t>
  </si>
  <si>
    <t>Dep. Rincón</t>
  </si>
  <si>
    <t>Sol de Mayo</t>
  </si>
  <si>
    <t>Sansinena</t>
  </si>
  <si>
    <t>Tabla de Descenso A</t>
  </si>
  <si>
    <r>
      <rPr>
        <rFont val="Arial"/>
        <b/>
      </rPr>
      <t xml:space="preserve">Reválida B | </t>
    </r>
    <r>
      <rPr>
        <rFont val="Arial"/>
        <b val="0"/>
        <color rgb="FF1155CC"/>
        <u/>
      </rPr>
      <t>https://interiorfutbolero.com.ar/</t>
    </r>
  </si>
  <si>
    <t>Boca Unidos</t>
  </si>
  <si>
    <t>DEPRO</t>
  </si>
  <si>
    <t>El Linqueño</t>
  </si>
  <si>
    <t>Douglas Haig</t>
  </si>
  <si>
    <t>Independiente (Ch)</t>
  </si>
  <si>
    <t>Gimnasia (CdU)</t>
  </si>
  <si>
    <t>Unión (S)</t>
  </si>
  <si>
    <t>Sarmiento (R)</t>
  </si>
  <si>
    <t>Crucero del Norte</t>
  </si>
  <si>
    <t>Juv. Antoniana</t>
  </si>
  <si>
    <t>Los cruces de la próxima ronda</t>
  </si>
  <si>
    <t>Clasificados Nonagonal A</t>
  </si>
  <si>
    <t>Clasificados Nonagonal B</t>
  </si>
  <si>
    <t>Clasificados Reválida A</t>
  </si>
  <si>
    <t>Clasificados Reválida 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</si>
</sst>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10">
    <font>
      <sz val="10.0"/>
      <color rgb="FF000000"/>
      <name val="Arial"/>
      <scheme val="minor"/>
    </font>
    <font>
      <b/>
      <u/>
      <color rgb="FF0000FF"/>
      <name val="Arial"/>
    </font>
    <font/>
    <font>
      <color theme="1"/>
      <name val="Arial"/>
    </font>
    <font>
      <b/>
      <color theme="1"/>
      <name val="Arial"/>
    </font>
    <font>
      <color theme="1"/>
      <name val="Arial"/>
      <scheme val="minor"/>
    </font>
    <font>
      <u/>
      <color rgb="FF0000FF"/>
    </font>
    <font>
      <u/>
      <color rgb="FF0000FF"/>
    </font>
    <font>
      <b/>
      <color theme="1"/>
      <name val="Arial"/>
      <scheme val="minor"/>
    </font>
    <font>
      <u/>
      <color rgb="FF0000FF"/>
    </font>
  </fonts>
  <fills count="8">
    <fill>
      <patternFill patternType="none"/>
    </fill>
    <fill>
      <patternFill patternType="lightGray"/>
    </fill>
    <fill>
      <patternFill patternType="solid">
        <fgColor rgb="FF6FA8DC"/>
        <bgColor rgb="FF6FA8DC"/>
      </patternFill>
    </fill>
    <fill>
      <patternFill patternType="solid">
        <fgColor rgb="FFFFE599"/>
        <bgColor rgb="FFFFE599"/>
      </patternFill>
    </fill>
    <fill>
      <patternFill patternType="solid">
        <fgColor rgb="FFCFE2F3"/>
        <bgColor rgb="FFCFE2F3"/>
      </patternFill>
    </fill>
    <fill>
      <patternFill patternType="solid">
        <fgColor rgb="FFFFD966"/>
        <bgColor rgb="FFFFD966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bottom"/>
    </xf>
    <xf borderId="1" fillId="3" fontId="4" numFmtId="0" xfId="0" applyAlignment="1" applyBorder="1" applyFill="1" applyFont="1">
      <alignment horizontal="center" readingOrder="0" vertical="bottom"/>
    </xf>
    <xf borderId="0" fillId="0" fontId="3" numFmtId="0" xfId="0" applyAlignment="1" applyFont="1">
      <alignment horizontal="center" vertical="bottom"/>
    </xf>
    <xf borderId="0" fillId="0" fontId="5" numFmtId="0" xfId="0" applyAlignment="1" applyFont="1">
      <alignment horizontal="center"/>
    </xf>
    <xf borderId="5" fillId="4" fontId="4" numFmtId="0" xfId="0" applyAlignment="1" applyBorder="1" applyFill="1" applyFont="1">
      <alignment horizontal="center" vertical="bottom"/>
    </xf>
    <xf borderId="6" fillId="4" fontId="4" numFmtId="0" xfId="0" applyAlignment="1" applyBorder="1" applyFont="1">
      <alignment horizontal="center" readingOrder="0" vertical="bottom"/>
    </xf>
    <xf borderId="6" fillId="4" fontId="4" numFmtId="0" xfId="0" applyAlignment="1" applyBorder="1" applyFont="1">
      <alignment horizontal="center" vertical="bottom"/>
    </xf>
    <xf borderId="7" fillId="0" fontId="3" numFmtId="0" xfId="0" applyAlignment="1" applyBorder="1" applyFont="1">
      <alignment horizontal="center" readingOrder="0" vertical="bottom"/>
    </xf>
    <xf borderId="0" fillId="0" fontId="5" numFmtId="0" xfId="0" applyFont="1"/>
    <xf borderId="5" fillId="5" fontId="3" numFmtId="0" xfId="0" applyAlignment="1" applyBorder="1" applyFill="1" applyFont="1">
      <alignment horizontal="center" vertical="bottom"/>
    </xf>
    <xf borderId="6" fillId="5" fontId="3" numFmtId="0" xfId="0" applyAlignment="1" applyBorder="1" applyFont="1">
      <alignment horizontal="center" vertical="bottom"/>
    </xf>
    <xf borderId="7" fillId="0" fontId="3" numFmtId="0" xfId="0" applyAlignment="1" applyBorder="1" applyFont="1">
      <alignment horizontal="center" vertical="bottom"/>
    </xf>
    <xf borderId="5" fillId="3" fontId="3" numFmtId="0" xfId="0" applyAlignment="1" applyBorder="1" applyFont="1">
      <alignment horizontal="center" vertical="bottom"/>
    </xf>
    <xf borderId="6" fillId="3" fontId="3" numFmtId="0" xfId="0" applyAlignment="1" applyBorder="1" applyFont="1">
      <alignment horizontal="center" vertical="bottom"/>
    </xf>
    <xf borderId="0" fillId="0" fontId="5" numFmtId="0" xfId="0" applyAlignment="1" applyFont="1">
      <alignment horizontal="center" readingOrder="0"/>
    </xf>
    <xf borderId="5" fillId="3" fontId="3" numFmtId="0" xfId="0" applyAlignment="1" applyBorder="1" applyFont="1">
      <alignment horizontal="center" readingOrder="0" vertical="bottom"/>
    </xf>
    <xf borderId="0" fillId="0" fontId="6" numFmtId="0" xfId="0" applyAlignment="1" applyFont="1">
      <alignment horizontal="left" readingOrder="0"/>
    </xf>
    <xf borderId="8" fillId="0" fontId="3" numFmtId="0" xfId="0" applyAlignment="1" applyBorder="1" applyFont="1">
      <alignment horizontal="center" vertical="bottom"/>
    </xf>
    <xf borderId="9" fillId="2" fontId="4" numFmtId="0" xfId="0" applyAlignment="1" applyBorder="1" applyFont="1">
      <alignment horizontal="center" vertical="bottom"/>
    </xf>
    <xf borderId="8" fillId="0" fontId="2" numFmtId="0" xfId="0" applyBorder="1" applyFont="1"/>
    <xf borderId="6" fillId="0" fontId="2" numFmtId="0" xfId="0" applyBorder="1" applyFont="1"/>
    <xf borderId="3" fillId="0" fontId="3" numFmtId="0" xfId="0" applyAlignment="1" applyBorder="1" applyFont="1">
      <alignment horizontal="center" readingOrder="0" vertical="bottom"/>
    </xf>
    <xf borderId="3" fillId="0" fontId="4" numFmtId="0" xfId="0" applyAlignment="1" applyBorder="1" applyFont="1">
      <alignment horizontal="center" vertical="bottom"/>
    </xf>
    <xf borderId="3" fillId="0" fontId="3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 readingOrder="0" vertical="bottom"/>
    </xf>
    <xf borderId="6" fillId="0" fontId="3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 vertical="bottom"/>
    </xf>
    <xf borderId="6" fillId="0" fontId="3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 vertical="bottom"/>
    </xf>
    <xf borderId="1" fillId="2" fontId="4" numFmtId="0" xfId="0" applyAlignment="1" applyBorder="1" applyFont="1">
      <alignment horizontal="center" readingOrder="0" vertical="bottom"/>
    </xf>
    <xf borderId="5" fillId="6" fontId="3" numFmtId="0" xfId="0" applyAlignment="1" applyBorder="1" applyFill="1" applyFont="1">
      <alignment horizontal="center" readingOrder="0" vertical="bottom"/>
    </xf>
    <xf borderId="6" fillId="6" fontId="3" numFmtId="0" xfId="0" applyAlignment="1" applyBorder="1" applyFont="1">
      <alignment horizontal="center" vertical="bottom"/>
    </xf>
    <xf borderId="1" fillId="2" fontId="4" numFmtId="0" xfId="0" applyAlignment="1" applyBorder="1" applyFont="1">
      <alignment horizontal="center" vertical="bottom"/>
    </xf>
    <xf borderId="0" fillId="0" fontId="7" numFmtId="0" xfId="0" applyAlignment="1" applyFont="1">
      <alignment horizontal="right" readingOrder="0"/>
    </xf>
    <xf borderId="1" fillId="7" fontId="4" numFmtId="0" xfId="0" applyAlignment="1" applyBorder="1" applyFill="1" applyFont="1">
      <alignment horizontal="center" readingOrder="0" vertical="bottom"/>
    </xf>
    <xf borderId="0" fillId="0" fontId="4" numFmtId="0" xfId="0" applyAlignment="1" applyFont="1">
      <alignment horizontal="center" readingOrder="0" vertical="bottom"/>
    </xf>
    <xf borderId="5" fillId="5" fontId="4" numFmtId="0" xfId="0" applyAlignment="1" applyBorder="1" applyFont="1">
      <alignment horizontal="center" readingOrder="0" vertical="bottom"/>
    </xf>
    <xf borderId="5" fillId="0" fontId="3" numFmtId="0" xfId="0" applyAlignment="1" applyBorder="1" applyFont="1">
      <alignment horizontal="center" readingOrder="0" vertical="bottom"/>
    </xf>
    <xf borderId="5" fillId="0" fontId="3" numFmtId="0" xfId="0" applyAlignment="1" applyBorder="1" applyFont="1">
      <alignment horizontal="center" vertical="bottom"/>
    </xf>
    <xf borderId="7" fillId="5" fontId="4" numFmtId="0" xfId="0" applyAlignment="1" applyBorder="1" applyFont="1">
      <alignment horizontal="center" readingOrder="0" vertical="bottom"/>
    </xf>
    <xf borderId="7" fillId="0" fontId="3" numFmtId="0" xfId="0" applyAlignment="1" applyBorder="1" applyFont="1">
      <alignment horizontal="center" readingOrder="0" vertical="bottom"/>
    </xf>
    <xf borderId="7" fillId="0" fontId="3" numFmtId="0" xfId="0" applyAlignment="1" applyBorder="1" applyFont="1">
      <alignment horizontal="center" vertical="bottom"/>
    </xf>
    <xf borderId="7" fillId="5" fontId="8" numFmtId="0" xfId="0" applyAlignment="1" applyBorder="1" applyFont="1">
      <alignment horizontal="center" readingOrder="0"/>
    </xf>
    <xf borderId="0" fillId="0" fontId="9" numFmtId="0" xfId="0" applyAlignment="1" applyFont="1">
      <alignment horizontal="left" readingOrder="0"/>
    </xf>
    <xf borderId="9" fillId="2" fontId="4" numFmtId="0" xfId="0" applyAlignment="1" applyBorder="1" applyFont="1">
      <alignment horizontal="center" readingOrder="0" vertical="bottom"/>
    </xf>
    <xf borderId="0" fillId="0" fontId="3" numFmtId="164" xfId="0" applyAlignment="1" applyFont="1" applyNumberFormat="1">
      <alignment horizontal="center" vertical="bottom"/>
    </xf>
    <xf borderId="0" fillId="0" fontId="5" numFmtId="164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20</xdr:col>
      <xdr:colOff>57150</xdr:colOff>
      <xdr:row>1</xdr:row>
      <xdr:rowOff>28575</xdr:rowOff>
    </xdr:from>
    <xdr:ext cx="1485900" cy="17430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0</xdr:row>
      <xdr:rowOff>0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933450</xdr:colOff>
      <xdr:row>0</xdr:row>
      <xdr:rowOff>0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952500</xdr:colOff>
      <xdr:row>6</xdr:row>
      <xdr:rowOff>9525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20</xdr:col>
      <xdr:colOff>57150</xdr:colOff>
      <xdr:row>0</xdr:row>
      <xdr:rowOff>200025</xdr:rowOff>
    </xdr:from>
    <xdr:ext cx="1485900" cy="17430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0</xdr:row>
      <xdr:rowOff>9525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1066800</xdr:colOff>
      <xdr:row>0</xdr:row>
      <xdr:rowOff>0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1104900</xdr:colOff>
      <xdr:row>5</xdr:row>
      <xdr:rowOff>180975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20</xdr:col>
      <xdr:colOff>85725</xdr:colOff>
      <xdr:row>1</xdr:row>
      <xdr:rowOff>190500</xdr:rowOff>
    </xdr:from>
    <xdr:ext cx="1485900" cy="17430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0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819150</xdr:colOff>
      <xdr:row>0</xdr:row>
      <xdr:rowOff>0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819150</xdr:colOff>
      <xdr:row>6</xdr:row>
      <xdr:rowOff>180975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19</xdr:col>
      <xdr:colOff>171450</xdr:colOff>
      <xdr:row>2</xdr:row>
      <xdr:rowOff>28575</xdr:rowOff>
    </xdr:from>
    <xdr:ext cx="1485900" cy="17430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0</xdr:row>
      <xdr:rowOff>19050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933450</xdr:colOff>
      <xdr:row>0</xdr:row>
      <xdr:rowOff>0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933450</xdr:colOff>
      <xdr:row>6</xdr:row>
      <xdr:rowOff>171450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66675</xdr:colOff>
      <xdr:row>2</xdr:row>
      <xdr:rowOff>38100</xdr:rowOff>
    </xdr:from>
    <xdr:ext cx="1485900" cy="17430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1171575</xdr:colOff>
      <xdr:row>0</xdr:row>
      <xdr:rowOff>0</xdr:rowOff>
    </xdr:from>
    <xdr:ext cx="333375" cy="333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interiorfutbolero.com.ar/" TargetMode="External"/><Relationship Id="rId2" Type="http://schemas.openxmlformats.org/officeDocument/2006/relationships/hyperlink" Target="https://cafecito.app/interiorfutbolero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interiorfutbolero.com.ar/" TargetMode="External"/><Relationship Id="rId2" Type="http://schemas.openxmlformats.org/officeDocument/2006/relationships/hyperlink" Target="https://cafecito.app/interiorfutbolero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interiorfutbolero.com.ar/" TargetMode="External"/><Relationship Id="rId2" Type="http://schemas.openxmlformats.org/officeDocument/2006/relationships/hyperlink" Target="https://cafecito.app/interiorfutbolero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interiorfutbolero.com.ar/" TargetMode="External"/><Relationship Id="rId2" Type="http://schemas.openxmlformats.org/officeDocument/2006/relationships/hyperlink" Target="https://cafecito.app/interiorfutbolero" TargetMode="External"/><Relationship Id="rId3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afecito.app/interiorfutbolero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5.25"/>
    <col customWidth="1" min="3" max="3" width="3.38"/>
    <col customWidth="1" min="4" max="4" width="3.0"/>
    <col customWidth="1" min="5" max="5" width="3.38"/>
    <col customWidth="1" min="6" max="7" width="3.25"/>
    <col customWidth="1" min="8" max="8" width="3.38"/>
    <col customWidth="1" min="9" max="9" width="3.5"/>
    <col customWidth="1" min="10" max="10" width="3.25"/>
    <col customWidth="1" min="11" max="11" width="3.38"/>
    <col customWidth="1" min="12" max="12" width="15.25"/>
    <col customWidth="1" min="13" max="13" width="2.25"/>
    <col customWidth="1" min="14" max="14" width="2.13"/>
    <col customWidth="1" min="15" max="15" width="15.25"/>
    <col customWidth="1" hidden="1" min="16" max="16" width="0.75"/>
    <col customWidth="1" hidden="1" min="17" max="17" width="1.88"/>
    <col customWidth="1" hidden="1" min="18" max="18" width="3.0"/>
    <col customWidth="1" hidden="1" min="19" max="19" width="3.25"/>
    <col customWidth="1" min="20" max="20" width="2.1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5" t="s">
        <v>1</v>
      </c>
      <c r="M1" s="2"/>
      <c r="N1" s="2"/>
      <c r="O1" s="3"/>
      <c r="P1" s="6"/>
      <c r="Q1" s="6" t="s">
        <v>2</v>
      </c>
      <c r="R1" s="6" t="s">
        <v>3</v>
      </c>
      <c r="S1" s="6" t="s">
        <v>4</v>
      </c>
      <c r="T1" s="7"/>
      <c r="U1" s="7"/>
      <c r="V1" s="7"/>
      <c r="W1" s="7"/>
      <c r="X1" s="7"/>
      <c r="Y1" s="7"/>
      <c r="Z1" s="7"/>
      <c r="AA1" s="7"/>
    </row>
    <row r="2">
      <c r="A2" s="8" t="s">
        <v>5</v>
      </c>
      <c r="B2" s="9" t="s">
        <v>6</v>
      </c>
      <c r="C2" s="10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0" t="s">
        <v>13</v>
      </c>
      <c r="J2" s="10" t="s">
        <v>14</v>
      </c>
      <c r="K2" s="4"/>
      <c r="L2" s="11" t="s">
        <v>15</v>
      </c>
      <c r="M2" s="11">
        <v>1.0</v>
      </c>
      <c r="N2" s="11">
        <v>0.0</v>
      </c>
      <c r="O2" s="11" t="s">
        <v>16</v>
      </c>
      <c r="P2" s="6"/>
      <c r="Q2" s="12">
        <f t="shared" ref="Q2:Q11" si="2">+IF(AND(M2&lt;&gt;"",N2&lt;&gt;""),1,0)</f>
        <v>1</v>
      </c>
      <c r="R2" s="6">
        <f t="shared" ref="R2:R11" si="3">IF(OR(M2="",N2=""), "", IF(M2=N2, 1, IF(M2&gt;N2, 3, 0)))</f>
        <v>3</v>
      </c>
      <c r="S2" s="6">
        <f t="shared" ref="S2:S11" si="4">IF(OR(M2="",N2=""), "", IF(M2=N2, 1, IF(M2&lt;N2, 3, 0)))</f>
        <v>0</v>
      </c>
      <c r="T2" s="7"/>
      <c r="U2" s="7"/>
      <c r="V2" s="7"/>
      <c r="W2" s="7"/>
      <c r="X2" s="7"/>
      <c r="Y2" s="7"/>
      <c r="Z2" s="7"/>
      <c r="AA2" s="7"/>
    </row>
    <row r="3">
      <c r="A3" s="13">
        <v>1.0</v>
      </c>
      <c r="B3" s="14" t="str">
        <f t="shared" ref="B3:J3" si="1">INDEX(B$25:B$33,MATCH($A3,$L$25:$L$33,0))</f>
        <v>Ciudad Bolívar</v>
      </c>
      <c r="C3" s="14">
        <f t="shared" si="1"/>
        <v>16</v>
      </c>
      <c r="D3" s="14">
        <f t="shared" si="1"/>
        <v>7</v>
      </c>
      <c r="E3" s="14">
        <f t="shared" si="1"/>
        <v>5</v>
      </c>
      <c r="F3" s="14">
        <f t="shared" si="1"/>
        <v>1</v>
      </c>
      <c r="G3" s="14">
        <f t="shared" si="1"/>
        <v>1</v>
      </c>
      <c r="H3" s="14">
        <f t="shared" si="1"/>
        <v>8</v>
      </c>
      <c r="I3" s="14">
        <f t="shared" si="1"/>
        <v>4</v>
      </c>
      <c r="J3" s="14">
        <f t="shared" si="1"/>
        <v>4</v>
      </c>
      <c r="K3" s="4"/>
      <c r="L3" s="15" t="s">
        <v>17</v>
      </c>
      <c r="M3" s="11">
        <v>2.0</v>
      </c>
      <c r="N3" s="11">
        <v>1.0</v>
      </c>
      <c r="O3" s="15" t="s">
        <v>18</v>
      </c>
      <c r="P3" s="6"/>
      <c r="Q3" s="12">
        <f t="shared" si="2"/>
        <v>1</v>
      </c>
      <c r="R3" s="6">
        <f t="shared" si="3"/>
        <v>3</v>
      </c>
      <c r="S3" s="6">
        <f t="shared" si="4"/>
        <v>0</v>
      </c>
      <c r="T3" s="7"/>
      <c r="U3" s="7"/>
      <c r="V3" s="7"/>
      <c r="W3" s="7"/>
      <c r="X3" s="7"/>
      <c r="Y3" s="7"/>
      <c r="Z3" s="7"/>
      <c r="AA3" s="7"/>
    </row>
    <row r="4">
      <c r="A4" s="13">
        <v>2.0</v>
      </c>
      <c r="B4" s="14" t="str">
        <f t="shared" ref="B4:J4" si="5">INDEX(B$25:B$33,MATCH($A4,$L$25:$L$33,0))</f>
        <v>Villa Mitre (BB)</v>
      </c>
      <c r="C4" s="14">
        <f t="shared" si="5"/>
        <v>14</v>
      </c>
      <c r="D4" s="14">
        <f t="shared" si="5"/>
        <v>8</v>
      </c>
      <c r="E4" s="14">
        <f t="shared" si="5"/>
        <v>4</v>
      </c>
      <c r="F4" s="14">
        <f t="shared" si="5"/>
        <v>2</v>
      </c>
      <c r="G4" s="14">
        <f t="shared" si="5"/>
        <v>2</v>
      </c>
      <c r="H4" s="14">
        <f t="shared" si="5"/>
        <v>9</v>
      </c>
      <c r="I4" s="14">
        <f t="shared" si="5"/>
        <v>9</v>
      </c>
      <c r="J4" s="14">
        <f t="shared" si="5"/>
        <v>0</v>
      </c>
      <c r="K4" s="4"/>
      <c r="L4" s="15" t="s">
        <v>19</v>
      </c>
      <c r="M4" s="11">
        <v>3.0</v>
      </c>
      <c r="N4" s="11">
        <v>1.0</v>
      </c>
      <c r="O4" s="15" t="s">
        <v>20</v>
      </c>
      <c r="P4" s="6"/>
      <c r="Q4" s="12">
        <f t="shared" si="2"/>
        <v>1</v>
      </c>
      <c r="R4" s="6">
        <f t="shared" si="3"/>
        <v>3</v>
      </c>
      <c r="S4" s="6">
        <f t="shared" si="4"/>
        <v>0</v>
      </c>
      <c r="T4" s="7"/>
      <c r="U4" s="7"/>
      <c r="V4" s="7"/>
      <c r="W4" s="7"/>
      <c r="X4" s="7"/>
      <c r="Y4" s="7"/>
      <c r="Z4" s="7"/>
      <c r="AA4" s="7"/>
    </row>
    <row r="5">
      <c r="A5" s="16">
        <v>3.0</v>
      </c>
      <c r="B5" s="17" t="str">
        <f t="shared" ref="B5:J5" si="6">INDEX(B$25:B$33,MATCH($A5,$L$25:$L$33,0))</f>
        <v>Argentino (MM)</v>
      </c>
      <c r="C5" s="17">
        <f t="shared" si="6"/>
        <v>12</v>
      </c>
      <c r="D5" s="17">
        <f t="shared" si="6"/>
        <v>7</v>
      </c>
      <c r="E5" s="17">
        <f t="shared" si="6"/>
        <v>4</v>
      </c>
      <c r="F5" s="17">
        <f t="shared" si="6"/>
        <v>0</v>
      </c>
      <c r="G5" s="17">
        <f t="shared" si="6"/>
        <v>3</v>
      </c>
      <c r="H5" s="17">
        <f t="shared" si="6"/>
        <v>13</v>
      </c>
      <c r="I5" s="17">
        <f t="shared" si="6"/>
        <v>10</v>
      </c>
      <c r="J5" s="17">
        <f t="shared" si="6"/>
        <v>3</v>
      </c>
      <c r="K5" s="6"/>
      <c r="L5" s="15" t="s">
        <v>21</v>
      </c>
      <c r="M5" s="11">
        <v>1.0</v>
      </c>
      <c r="N5" s="11">
        <v>1.0</v>
      </c>
      <c r="O5" s="11" t="s">
        <v>22</v>
      </c>
      <c r="P5" s="6"/>
      <c r="Q5" s="12">
        <f t="shared" si="2"/>
        <v>1</v>
      </c>
      <c r="R5" s="6">
        <f t="shared" si="3"/>
        <v>1</v>
      </c>
      <c r="S5" s="6">
        <f t="shared" si="4"/>
        <v>1</v>
      </c>
      <c r="T5" s="7"/>
      <c r="U5" s="7"/>
      <c r="V5" s="18"/>
      <c r="W5" s="7"/>
      <c r="X5" s="7"/>
      <c r="Y5" s="7"/>
      <c r="Z5" s="7"/>
      <c r="AA5" s="7"/>
    </row>
    <row r="6">
      <c r="A6" s="16">
        <v>4.0</v>
      </c>
      <c r="B6" s="17" t="str">
        <f t="shared" ref="B6:J6" si="7">INDEX(B$25:B$33,MATCH($A6,$L$25:$L$33,0))</f>
        <v>Kimberley (MdP)</v>
      </c>
      <c r="C6" s="17">
        <f t="shared" si="7"/>
        <v>12</v>
      </c>
      <c r="D6" s="17">
        <f t="shared" si="7"/>
        <v>7</v>
      </c>
      <c r="E6" s="17">
        <f t="shared" si="7"/>
        <v>3</v>
      </c>
      <c r="F6" s="17">
        <f t="shared" si="7"/>
        <v>3</v>
      </c>
      <c r="G6" s="17">
        <f t="shared" si="7"/>
        <v>1</v>
      </c>
      <c r="H6" s="17">
        <f t="shared" si="7"/>
        <v>9</v>
      </c>
      <c r="I6" s="17">
        <f t="shared" si="7"/>
        <v>6</v>
      </c>
      <c r="J6" s="17">
        <f t="shared" si="7"/>
        <v>3</v>
      </c>
      <c r="K6" s="6"/>
      <c r="Q6" s="12">
        <f t="shared" si="2"/>
        <v>0</v>
      </c>
      <c r="R6" s="6" t="str">
        <f t="shared" si="3"/>
        <v/>
      </c>
      <c r="S6" s="6" t="str">
        <f t="shared" si="4"/>
        <v/>
      </c>
      <c r="T6" s="7"/>
      <c r="U6" s="7"/>
      <c r="V6" s="18"/>
      <c r="W6" s="7"/>
      <c r="X6" s="7"/>
      <c r="Y6" s="7"/>
      <c r="Z6" s="7"/>
      <c r="AA6" s="7"/>
    </row>
    <row r="7">
      <c r="A7" s="16">
        <v>5.0</v>
      </c>
      <c r="B7" s="17" t="str">
        <f t="shared" ref="B7:J7" si="8">INDEX(B$25:B$33,MATCH($A7,$L$25:$L$33,0))</f>
        <v>Santamarina</v>
      </c>
      <c r="C7" s="17">
        <f t="shared" si="8"/>
        <v>11</v>
      </c>
      <c r="D7" s="17">
        <f t="shared" si="8"/>
        <v>7</v>
      </c>
      <c r="E7" s="17">
        <f t="shared" si="8"/>
        <v>3</v>
      </c>
      <c r="F7" s="17">
        <f t="shared" si="8"/>
        <v>2</v>
      </c>
      <c r="G7" s="17">
        <f t="shared" si="8"/>
        <v>2</v>
      </c>
      <c r="H7" s="17">
        <f t="shared" si="8"/>
        <v>10</v>
      </c>
      <c r="I7" s="17">
        <f t="shared" si="8"/>
        <v>6</v>
      </c>
      <c r="J7" s="17">
        <f t="shared" si="8"/>
        <v>4</v>
      </c>
      <c r="K7" s="6"/>
      <c r="L7" s="5" t="s">
        <v>23</v>
      </c>
      <c r="M7" s="2"/>
      <c r="N7" s="2"/>
      <c r="O7" s="3"/>
      <c r="Q7" s="12">
        <f t="shared" si="2"/>
        <v>0</v>
      </c>
      <c r="R7" s="6" t="str">
        <f t="shared" si="3"/>
        <v/>
      </c>
      <c r="S7" s="6" t="str">
        <f t="shared" si="4"/>
        <v/>
      </c>
      <c r="T7" s="7"/>
      <c r="U7" s="7"/>
      <c r="W7" s="7"/>
      <c r="X7" s="7"/>
      <c r="Y7" s="7"/>
      <c r="Z7" s="7"/>
      <c r="AA7" s="7"/>
    </row>
    <row r="8">
      <c r="A8" s="16">
        <v>6.0</v>
      </c>
      <c r="B8" s="17" t="str">
        <f t="shared" ref="B8:J8" si="9">INDEX(B$25:B$33,MATCH($A8,$L$25:$L$33,0))</f>
        <v>Gutiérrez (M)</v>
      </c>
      <c r="C8" s="17">
        <f t="shared" si="9"/>
        <v>8</v>
      </c>
      <c r="D8" s="17">
        <f t="shared" si="9"/>
        <v>7</v>
      </c>
      <c r="E8" s="17">
        <f t="shared" si="9"/>
        <v>1</v>
      </c>
      <c r="F8" s="17">
        <f t="shared" si="9"/>
        <v>5</v>
      </c>
      <c r="G8" s="17">
        <f t="shared" si="9"/>
        <v>1</v>
      </c>
      <c r="H8" s="17">
        <f t="shared" si="9"/>
        <v>7</v>
      </c>
      <c r="I8" s="17">
        <f t="shared" si="9"/>
        <v>10</v>
      </c>
      <c r="J8" s="17">
        <f t="shared" si="9"/>
        <v>-3</v>
      </c>
      <c r="K8" s="6"/>
      <c r="L8" s="15" t="s">
        <v>20</v>
      </c>
      <c r="M8" s="11"/>
      <c r="N8" s="11"/>
      <c r="O8" s="15" t="s">
        <v>17</v>
      </c>
      <c r="Q8" s="12">
        <f t="shared" si="2"/>
        <v>0</v>
      </c>
      <c r="R8" s="6" t="str">
        <f t="shared" si="3"/>
        <v/>
      </c>
      <c r="S8" s="6" t="str">
        <f t="shared" si="4"/>
        <v/>
      </c>
      <c r="T8" s="7"/>
      <c r="U8" s="7"/>
      <c r="V8" s="18"/>
      <c r="W8" s="7"/>
      <c r="X8" s="7"/>
      <c r="Y8" s="7"/>
      <c r="Z8" s="7"/>
      <c r="AA8" s="7"/>
    </row>
    <row r="9">
      <c r="A9" s="19">
        <v>7.0</v>
      </c>
      <c r="B9" s="17" t="str">
        <f t="shared" ref="B9:J9" si="10">INDEX(B$25:B$33,MATCH($A9,$L$25:$L$33,0))</f>
        <v>Olimpo (BB)</v>
      </c>
      <c r="C9" s="17">
        <f t="shared" si="10"/>
        <v>5</v>
      </c>
      <c r="D9" s="17">
        <f t="shared" si="10"/>
        <v>7</v>
      </c>
      <c r="E9" s="17">
        <f t="shared" si="10"/>
        <v>1</v>
      </c>
      <c r="F9" s="17">
        <f t="shared" si="10"/>
        <v>2</v>
      </c>
      <c r="G9" s="17">
        <f t="shared" si="10"/>
        <v>4</v>
      </c>
      <c r="H9" s="17">
        <f t="shared" si="10"/>
        <v>4</v>
      </c>
      <c r="I9" s="17">
        <f t="shared" si="10"/>
        <v>7</v>
      </c>
      <c r="J9" s="17">
        <f t="shared" si="10"/>
        <v>-3</v>
      </c>
      <c r="K9" s="6"/>
      <c r="L9" s="15" t="s">
        <v>18</v>
      </c>
      <c r="M9" s="11"/>
      <c r="N9" s="11"/>
      <c r="O9" s="11" t="s">
        <v>15</v>
      </c>
      <c r="Q9" s="12">
        <f t="shared" si="2"/>
        <v>0</v>
      </c>
      <c r="R9" s="6" t="str">
        <f t="shared" si="3"/>
        <v/>
      </c>
      <c r="S9" s="6" t="str">
        <f t="shared" si="4"/>
        <v/>
      </c>
      <c r="V9" s="18"/>
      <c r="W9" s="7"/>
      <c r="X9" s="7"/>
      <c r="Y9" s="7"/>
      <c r="Z9" s="7"/>
      <c r="AA9" s="7"/>
    </row>
    <row r="10">
      <c r="A10" s="19">
        <v>8.0</v>
      </c>
      <c r="B10" s="17" t="str">
        <f t="shared" ref="B10:J10" si="11">INDEX(B$25:B$33,MATCH($A10,$L$25:$L$33,0))</f>
        <v>Camioneros</v>
      </c>
      <c r="C10" s="17">
        <f t="shared" si="11"/>
        <v>5</v>
      </c>
      <c r="D10" s="17">
        <f t="shared" si="11"/>
        <v>7</v>
      </c>
      <c r="E10" s="17">
        <f t="shared" si="11"/>
        <v>1</v>
      </c>
      <c r="F10" s="17">
        <f t="shared" si="11"/>
        <v>2</v>
      </c>
      <c r="G10" s="17">
        <f t="shared" si="11"/>
        <v>4</v>
      </c>
      <c r="H10" s="17">
        <f t="shared" si="11"/>
        <v>4</v>
      </c>
      <c r="I10" s="17">
        <f t="shared" si="11"/>
        <v>9</v>
      </c>
      <c r="J10" s="17">
        <f t="shared" si="11"/>
        <v>-5</v>
      </c>
      <c r="K10" s="6"/>
      <c r="L10" s="11" t="s">
        <v>16</v>
      </c>
      <c r="M10" s="11"/>
      <c r="N10" s="11"/>
      <c r="O10" s="15" t="s">
        <v>21</v>
      </c>
      <c r="Q10" s="12">
        <f t="shared" si="2"/>
        <v>0</v>
      </c>
      <c r="R10" s="6" t="str">
        <f t="shared" si="3"/>
        <v/>
      </c>
      <c r="S10" s="6" t="str">
        <f t="shared" si="4"/>
        <v/>
      </c>
      <c r="T10" s="7"/>
      <c r="U10" s="7"/>
      <c r="V10" s="18"/>
      <c r="W10" s="7"/>
      <c r="X10" s="7"/>
      <c r="Y10" s="7"/>
      <c r="Z10" s="7"/>
      <c r="AA10" s="7"/>
    </row>
    <row r="11">
      <c r="A11" s="19">
        <v>9.0</v>
      </c>
      <c r="B11" s="17" t="str">
        <f t="shared" ref="B11:J11" si="12">INDEX(B$25:B$33,MATCH($A11,$L$25:$L$33,0))</f>
        <v>Germinal (R)</v>
      </c>
      <c r="C11" s="17">
        <f t="shared" si="12"/>
        <v>4</v>
      </c>
      <c r="D11" s="17">
        <f t="shared" si="12"/>
        <v>7</v>
      </c>
      <c r="E11" s="17">
        <f t="shared" si="12"/>
        <v>1</v>
      </c>
      <c r="F11" s="17">
        <f t="shared" si="12"/>
        <v>1</v>
      </c>
      <c r="G11" s="17">
        <f t="shared" si="12"/>
        <v>5</v>
      </c>
      <c r="H11" s="17">
        <f t="shared" si="12"/>
        <v>5</v>
      </c>
      <c r="I11" s="17">
        <f t="shared" si="12"/>
        <v>8</v>
      </c>
      <c r="J11" s="17">
        <f t="shared" si="12"/>
        <v>-3</v>
      </c>
      <c r="K11" s="6"/>
      <c r="L11" s="11" t="s">
        <v>22</v>
      </c>
      <c r="M11" s="11"/>
      <c r="N11" s="11"/>
      <c r="O11" s="15" t="s">
        <v>24</v>
      </c>
      <c r="P11" s="6"/>
      <c r="Q11" s="12">
        <f t="shared" si="2"/>
        <v>0</v>
      </c>
      <c r="R11" s="6" t="str">
        <f t="shared" si="3"/>
        <v/>
      </c>
      <c r="S11" s="6" t="str">
        <f t="shared" si="4"/>
        <v/>
      </c>
      <c r="T11" s="7"/>
      <c r="U11" s="7"/>
      <c r="V11" s="18"/>
      <c r="W11" s="7"/>
      <c r="X11" s="7"/>
      <c r="Y11" s="7"/>
      <c r="Z11" s="7"/>
      <c r="AA11" s="7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P12" s="6"/>
      <c r="Q12" s="6"/>
      <c r="R12" s="6"/>
      <c r="S12" s="6"/>
      <c r="T12" s="7"/>
      <c r="U12" s="20" t="s">
        <v>25</v>
      </c>
      <c r="V12" s="7"/>
      <c r="W12" s="7"/>
      <c r="X12" s="7"/>
      <c r="Y12" s="7"/>
      <c r="Z12" s="7"/>
      <c r="AA12" s="7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P13" s="6"/>
      <c r="Q13" s="6"/>
      <c r="R13" s="6"/>
      <c r="S13" s="6"/>
      <c r="T13" s="7"/>
      <c r="U13" s="7"/>
      <c r="V13" s="7"/>
      <c r="W13" s="7"/>
      <c r="X13" s="7"/>
      <c r="Y13" s="7"/>
      <c r="Z13" s="7"/>
      <c r="AA13" s="7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P14" s="6"/>
      <c r="Q14" s="6"/>
      <c r="R14" s="6"/>
      <c r="S14" s="6"/>
      <c r="T14" s="7"/>
      <c r="U14" s="7"/>
      <c r="V14" s="7"/>
      <c r="W14" s="7"/>
      <c r="X14" s="7"/>
      <c r="Y14" s="7"/>
      <c r="Z14" s="7"/>
      <c r="AA14" s="7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P15" s="6"/>
      <c r="Q15" s="6"/>
      <c r="R15" s="6"/>
      <c r="S15" s="6"/>
      <c r="T15" s="7"/>
      <c r="U15" s="7"/>
      <c r="V15" s="7"/>
      <c r="W15" s="7"/>
      <c r="X15" s="7"/>
      <c r="Y15" s="7"/>
      <c r="Z15" s="7"/>
      <c r="AA15" s="7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P16" s="6"/>
      <c r="Q16" s="6"/>
      <c r="R16" s="6"/>
      <c r="S16" s="6"/>
      <c r="T16" s="7"/>
      <c r="U16" s="7"/>
      <c r="V16" s="7"/>
      <c r="W16" s="7"/>
      <c r="X16" s="7"/>
      <c r="Y16" s="7"/>
      <c r="Z16" s="7"/>
      <c r="AA16" s="7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P18" s="6"/>
      <c r="Q18" s="6"/>
      <c r="R18" s="6"/>
      <c r="S18" s="6"/>
      <c r="T18" s="7"/>
      <c r="U18" s="7"/>
      <c r="V18" s="7"/>
      <c r="W18" s="7"/>
      <c r="X18" s="7"/>
      <c r="Y18" s="7"/>
      <c r="Z18" s="7"/>
      <c r="AA18" s="7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P19" s="6"/>
      <c r="Q19" s="6"/>
      <c r="R19" s="6"/>
      <c r="S19" s="6"/>
      <c r="T19" s="7"/>
      <c r="U19" s="7"/>
      <c r="V19" s="7"/>
      <c r="W19" s="7"/>
      <c r="X19" s="7"/>
      <c r="Y19" s="7"/>
      <c r="Z19" s="7"/>
      <c r="AA19" s="7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P20" s="6"/>
      <c r="Q20" s="6"/>
      <c r="R20" s="6"/>
      <c r="S20" s="6"/>
      <c r="T20" s="7"/>
      <c r="U20" s="7"/>
      <c r="V20" s="7"/>
      <c r="W20" s="7"/>
      <c r="X20" s="7"/>
      <c r="Y20" s="7"/>
      <c r="Z20" s="7"/>
      <c r="AA20" s="7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7"/>
      <c r="U21" s="7"/>
      <c r="V21" s="7"/>
      <c r="W21" s="7"/>
      <c r="X21" s="7"/>
      <c r="Y21" s="7"/>
      <c r="Z21" s="7"/>
      <c r="AA21" s="7"/>
    </row>
    <row r="22" hidden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6"/>
      <c r="L22" s="6"/>
      <c r="M22" s="6"/>
      <c r="N22" s="6"/>
      <c r="O22" s="6"/>
      <c r="P22" s="6"/>
      <c r="Q22" s="6"/>
      <c r="R22" s="6"/>
      <c r="S22" s="6"/>
      <c r="T22" s="7"/>
      <c r="U22" s="7"/>
      <c r="V22" s="7"/>
      <c r="W22" s="7"/>
      <c r="X22" s="7"/>
      <c r="Y22" s="7"/>
      <c r="Z22" s="7"/>
      <c r="AA22" s="7"/>
    </row>
    <row r="23" hidden="1">
      <c r="A23" s="22" t="s">
        <v>26</v>
      </c>
      <c r="B23" s="23"/>
      <c r="C23" s="23"/>
      <c r="D23" s="23"/>
      <c r="E23" s="23"/>
      <c r="F23" s="23"/>
      <c r="G23" s="23"/>
      <c r="H23" s="23"/>
      <c r="I23" s="23"/>
      <c r="J23" s="24"/>
      <c r="K23" s="6"/>
      <c r="L23" s="6"/>
      <c r="M23" s="6"/>
      <c r="N23" s="6"/>
      <c r="O23" s="6"/>
      <c r="P23" s="6"/>
      <c r="Q23" s="6"/>
      <c r="R23" s="6"/>
      <c r="S23" s="6"/>
      <c r="T23" s="7"/>
      <c r="U23" s="7"/>
      <c r="V23" s="7"/>
      <c r="W23" s="7"/>
      <c r="X23" s="7"/>
      <c r="Y23" s="7"/>
      <c r="Z23" s="7"/>
      <c r="AA23" s="7"/>
    </row>
    <row r="24" hidden="1">
      <c r="A24" s="8" t="s">
        <v>5</v>
      </c>
      <c r="B24" s="10" t="s">
        <v>27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0" t="s">
        <v>14</v>
      </c>
      <c r="K24" s="6"/>
      <c r="L24" s="6"/>
      <c r="M24" s="6"/>
      <c r="N24" s="6"/>
      <c r="O24" s="6"/>
      <c r="P24" s="6"/>
      <c r="Q24" s="6"/>
      <c r="R24" s="6"/>
      <c r="S24" s="6"/>
      <c r="T24" s="7"/>
      <c r="U24" s="7"/>
      <c r="V24" s="7"/>
      <c r="W24" s="7"/>
      <c r="X24" s="7"/>
      <c r="Y24" s="7"/>
      <c r="Z24" s="7"/>
      <c r="AA24" s="7"/>
    </row>
    <row r="25" hidden="1">
      <c r="A25" s="15">
        <v>1.0</v>
      </c>
      <c r="B25" s="25" t="s">
        <v>15</v>
      </c>
      <c r="C25" s="26">
        <f t="shared" ref="C25:C33" si="13">E25*3+F25</f>
        <v>16</v>
      </c>
      <c r="D25" s="27">
        <f t="shared" ref="D25:D33" si="14">E25+F25+G25</f>
        <v>7</v>
      </c>
      <c r="E25" s="27">
        <f t="shared" ref="E25:E26" si="15">COUNTIFS(L:L,B25,R:R,3)+COUNTIFS(O:O,B25,S:S,3)+4</f>
        <v>5</v>
      </c>
      <c r="F25" s="27">
        <f>COUNTIFS(L:L,B25,R:R,1)+COUNTIFS(O:O,B25,S:S,1)+1</f>
        <v>1</v>
      </c>
      <c r="G25" s="27">
        <f>COUNTIFS(L:L,B25,R:R,0)+COUNTIFS(O:O,B25,S:S,0)+1</f>
        <v>1</v>
      </c>
      <c r="H25" s="27">
        <f>SUMIF(L:L,B25,M:M)+SUMIF(O:O,B25,N:N)+7</f>
        <v>8</v>
      </c>
      <c r="I25" s="27">
        <f>SUMIF(L:L,B25,N:N)+SUMIF(O:O,B25,M:M)+4</f>
        <v>4</v>
      </c>
      <c r="J25" s="27">
        <f t="shared" ref="J25:J33" si="16">H25-I25</f>
        <v>4</v>
      </c>
      <c r="K25" s="6">
        <f t="shared" ref="K25:K33" si="17">C25*100+J25+(H25/10)+(I25/100)+ROW()/1000</f>
        <v>1604.865</v>
      </c>
      <c r="L25" s="6">
        <f t="shared" ref="L25:L33" si="18">_xlfn.RANK.EQ(K25,$K$25:$K$33)</f>
        <v>1</v>
      </c>
      <c r="M25" s="6"/>
      <c r="N25" s="6"/>
      <c r="O25" s="6"/>
      <c r="P25" s="6"/>
      <c r="Q25" s="6"/>
      <c r="R25" s="6"/>
      <c r="S25" s="6"/>
      <c r="T25" s="7"/>
      <c r="U25" s="7"/>
      <c r="V25" s="7"/>
      <c r="W25" s="7"/>
      <c r="X25" s="7"/>
      <c r="Y25" s="7"/>
      <c r="Z25" s="7"/>
      <c r="AA25" s="7"/>
    </row>
    <row r="26" hidden="1">
      <c r="A26" s="28">
        <v>2.0</v>
      </c>
      <c r="B26" s="29" t="s">
        <v>18</v>
      </c>
      <c r="C26" s="30">
        <f t="shared" si="13"/>
        <v>12</v>
      </c>
      <c r="D26" s="31">
        <f t="shared" si="14"/>
        <v>7</v>
      </c>
      <c r="E26" s="31">
        <f t="shared" si="15"/>
        <v>4</v>
      </c>
      <c r="F26" s="31">
        <f>COUNTIFS(L:L,B26,R:R,1)+COUNTIFS(O:O,B26,S:S,1)</f>
        <v>0</v>
      </c>
      <c r="G26" s="31">
        <f>COUNTIFS(L:L,B26,R:R,0)+COUNTIFS(O:O,B26,S:S,0)+2</f>
        <v>3</v>
      </c>
      <c r="H26" s="31">
        <f>SUMIF(L:L,B26,M:M)+SUMIF(O:O,B26,N:N)+12</f>
        <v>13</v>
      </c>
      <c r="I26" s="31">
        <f>SUMIF(L:L,B26,N:N)+SUMIF(O:O,B26,M:M)+8</f>
        <v>10</v>
      </c>
      <c r="J26" s="31">
        <f t="shared" si="16"/>
        <v>3</v>
      </c>
      <c r="K26" s="6">
        <f t="shared" si="17"/>
        <v>1204.426</v>
      </c>
      <c r="L26" s="6">
        <f t="shared" si="18"/>
        <v>3</v>
      </c>
      <c r="M26" s="6"/>
      <c r="N26" s="6"/>
      <c r="O26" s="6"/>
      <c r="P26" s="6"/>
      <c r="Q26" s="6"/>
      <c r="R26" s="6"/>
      <c r="S26" s="6"/>
      <c r="T26" s="7"/>
      <c r="U26" s="7"/>
      <c r="V26" s="7"/>
      <c r="W26" s="7"/>
      <c r="X26" s="7"/>
      <c r="Y26" s="7"/>
      <c r="Z26" s="7"/>
      <c r="AA26" s="7"/>
    </row>
    <row r="27" hidden="1">
      <c r="A27" s="32">
        <v>3.0</v>
      </c>
      <c r="B27" s="29" t="s">
        <v>17</v>
      </c>
      <c r="C27" s="30">
        <f t="shared" si="13"/>
        <v>12</v>
      </c>
      <c r="D27" s="31">
        <f t="shared" si="14"/>
        <v>7</v>
      </c>
      <c r="E27" s="31">
        <f>COUNTIFS(L:L,B27,R:R,3)+COUNTIFS(O:O,B27,S:S,3)+2</f>
        <v>3</v>
      </c>
      <c r="F27" s="31">
        <f>COUNTIFS(L:L,B27,R:R,1)+COUNTIFS(O:O,B27,S:S,1)+3</f>
        <v>3</v>
      </c>
      <c r="G27" s="31">
        <f>COUNTIFS(L:L,B27,R:R,0)+COUNTIFS(O:O,B27,S:S,0)+1</f>
        <v>1</v>
      </c>
      <c r="H27" s="31">
        <f>SUMIF(L:L,B27,M:M)+SUMIF(O:O,B27,N:N)+7</f>
        <v>9</v>
      </c>
      <c r="I27" s="31">
        <f>SUMIF(L:L,B27,N:N)+SUMIF(O:O,B27,M:M)+5</f>
        <v>6</v>
      </c>
      <c r="J27" s="31">
        <f t="shared" si="16"/>
        <v>3</v>
      </c>
      <c r="K27" s="6">
        <f t="shared" si="17"/>
        <v>1203.987</v>
      </c>
      <c r="L27" s="6">
        <f t="shared" si="18"/>
        <v>4</v>
      </c>
      <c r="M27" s="6"/>
      <c r="N27" s="6"/>
      <c r="O27" s="6"/>
      <c r="P27" s="6"/>
      <c r="Q27" s="6"/>
      <c r="R27" s="6"/>
      <c r="S27" s="6"/>
      <c r="T27" s="7"/>
      <c r="U27" s="7"/>
      <c r="V27" s="7"/>
      <c r="W27" s="7"/>
      <c r="X27" s="7"/>
      <c r="Y27" s="7"/>
      <c r="Z27" s="7"/>
      <c r="AA27" s="7"/>
    </row>
    <row r="28" hidden="1">
      <c r="A28" s="32">
        <v>4.0</v>
      </c>
      <c r="B28" s="29" t="s">
        <v>24</v>
      </c>
      <c r="C28" s="30">
        <f t="shared" si="13"/>
        <v>11</v>
      </c>
      <c r="D28" s="31">
        <f t="shared" si="14"/>
        <v>7</v>
      </c>
      <c r="E28" s="31">
        <f t="shared" ref="E28:E29" si="19">COUNTIFS(L:L,B28,R:R,3)+COUNTIFS(O:O,B28,S:S,3)+3</f>
        <v>3</v>
      </c>
      <c r="F28" s="31">
        <f t="shared" ref="F28:F29" si="20">COUNTIFS(L:L,B28,R:R,1)+COUNTIFS(O:O,B28,S:S,1)+2</f>
        <v>2</v>
      </c>
      <c r="G28" s="31">
        <f t="shared" ref="G28:G29" si="21">COUNTIFS(L:L,B28,R:R,0)+COUNTIFS(O:O,B28,S:S,0)+2</f>
        <v>2</v>
      </c>
      <c r="H28" s="31">
        <f>SUMIF(L:L,B28,M:M)+SUMIF(O:O,B28,N:N)+10</f>
        <v>10</v>
      </c>
      <c r="I28" s="31">
        <f>SUMIF(L:L,B28,N:N)+SUMIF(O:O,B28,M:M)+6</f>
        <v>6</v>
      </c>
      <c r="J28" s="31">
        <f t="shared" si="16"/>
        <v>4</v>
      </c>
      <c r="K28" s="6">
        <f t="shared" si="17"/>
        <v>1105.088</v>
      </c>
      <c r="L28" s="6">
        <f t="shared" si="18"/>
        <v>5</v>
      </c>
      <c r="M28" s="6"/>
      <c r="N28" s="6"/>
      <c r="O28" s="6"/>
      <c r="P28" s="6"/>
      <c r="Q28" s="6"/>
      <c r="R28" s="6"/>
      <c r="S28" s="6"/>
      <c r="T28" s="7"/>
      <c r="U28" s="7"/>
      <c r="V28" s="7"/>
      <c r="W28" s="7"/>
      <c r="X28" s="7"/>
      <c r="Y28" s="7"/>
      <c r="Z28" s="7"/>
      <c r="AA28" s="7"/>
    </row>
    <row r="29" hidden="1">
      <c r="A29" s="32">
        <v>5.0</v>
      </c>
      <c r="B29" s="29" t="s">
        <v>19</v>
      </c>
      <c r="C29" s="30">
        <f t="shared" si="13"/>
        <v>14</v>
      </c>
      <c r="D29" s="31">
        <f t="shared" si="14"/>
        <v>8</v>
      </c>
      <c r="E29" s="31">
        <f t="shared" si="19"/>
        <v>4</v>
      </c>
      <c r="F29" s="31">
        <f t="shared" si="20"/>
        <v>2</v>
      </c>
      <c r="G29" s="31">
        <f t="shared" si="21"/>
        <v>2</v>
      </c>
      <c r="H29" s="31">
        <f t="shared" ref="H29:H30" si="22">SUMIF(L:L,B29,M:M)+SUMIF(O:O,B29,N:N)+6</f>
        <v>9</v>
      </c>
      <c r="I29" s="31">
        <f>SUMIF(L:L,B29,N:N)+SUMIF(O:O,B29,M:M)+8</f>
        <v>9</v>
      </c>
      <c r="J29" s="31">
        <f t="shared" si="16"/>
        <v>0</v>
      </c>
      <c r="K29" s="6">
        <f t="shared" si="17"/>
        <v>1401.019</v>
      </c>
      <c r="L29" s="6">
        <f t="shared" si="18"/>
        <v>2</v>
      </c>
      <c r="M29" s="6"/>
      <c r="N29" s="6"/>
      <c r="O29" s="6"/>
      <c r="P29" s="6"/>
      <c r="Q29" s="6"/>
      <c r="R29" s="6"/>
      <c r="S29" s="6"/>
      <c r="T29" s="7"/>
      <c r="U29" s="7"/>
      <c r="V29" s="7"/>
      <c r="W29" s="7"/>
      <c r="X29" s="7"/>
      <c r="Y29" s="7"/>
      <c r="Z29" s="7"/>
      <c r="AA29" s="7"/>
    </row>
    <row r="30" hidden="1">
      <c r="A30" s="32">
        <v>6.0</v>
      </c>
      <c r="B30" s="29" t="s">
        <v>21</v>
      </c>
      <c r="C30" s="30">
        <f t="shared" si="13"/>
        <v>8</v>
      </c>
      <c r="D30" s="31">
        <f t="shared" si="14"/>
        <v>7</v>
      </c>
      <c r="E30" s="31">
        <f t="shared" ref="E30:E33" si="23">COUNTIFS(L:L,B30,R:R,3)+COUNTIFS(O:O,B30,S:S,3)+1</f>
        <v>1</v>
      </c>
      <c r="F30" s="31">
        <f>COUNTIFS(L:L,B30,R:R,1)+COUNTIFS(O:O,B30,S:S,1)+4</f>
        <v>5</v>
      </c>
      <c r="G30" s="31">
        <f>COUNTIFS(L:L,B30,R:R,0)+COUNTIFS(O:O,B30,S:S,0)+1</f>
        <v>1</v>
      </c>
      <c r="H30" s="31">
        <f t="shared" si="22"/>
        <v>7</v>
      </c>
      <c r="I30" s="31">
        <f>SUMIF(L:L,B30,N:N)+SUMIF(O:O,B30,M:M)+9</f>
        <v>10</v>
      </c>
      <c r="J30" s="31">
        <f t="shared" si="16"/>
        <v>-3</v>
      </c>
      <c r="K30" s="6">
        <f t="shared" si="17"/>
        <v>797.83</v>
      </c>
      <c r="L30" s="6">
        <f t="shared" si="18"/>
        <v>6</v>
      </c>
      <c r="M30" s="6"/>
      <c r="N30" s="6"/>
      <c r="O30" s="6"/>
      <c r="P30" s="6"/>
      <c r="Q30" s="6"/>
      <c r="R30" s="6"/>
      <c r="S30" s="6"/>
      <c r="T30" s="7"/>
      <c r="U30" s="7"/>
      <c r="V30" s="7"/>
      <c r="W30" s="7"/>
      <c r="X30" s="7"/>
      <c r="Y30" s="7"/>
      <c r="Z30" s="7"/>
      <c r="AA30" s="7"/>
    </row>
    <row r="31" hidden="1">
      <c r="A31" s="28">
        <v>7.0</v>
      </c>
      <c r="B31" s="29" t="s">
        <v>20</v>
      </c>
      <c r="C31" s="30">
        <f t="shared" si="13"/>
        <v>5</v>
      </c>
      <c r="D31" s="31">
        <f t="shared" si="14"/>
        <v>7</v>
      </c>
      <c r="E31" s="31">
        <f t="shared" si="23"/>
        <v>1</v>
      </c>
      <c r="F31" s="31">
        <f>COUNTIFS(L:L,B31,R:R,1)+COUNTIFS(O:O,B31,S:S,1)+2</f>
        <v>2</v>
      </c>
      <c r="G31" s="31">
        <f>COUNTIFS(L:L,B31,R:R,0)+COUNTIFS(O:O,B31,S:S,0)+3</f>
        <v>4</v>
      </c>
      <c r="H31" s="31">
        <f>SUMIF(L:L,B31,M:M)+SUMIF(O:O,B31,N:N)+3</f>
        <v>4</v>
      </c>
      <c r="I31" s="31">
        <f>SUMIF(L:L,B31,N:N)+SUMIF(O:O,B31,M:M)+6</f>
        <v>9</v>
      </c>
      <c r="J31" s="31">
        <f t="shared" si="16"/>
        <v>-5</v>
      </c>
      <c r="K31" s="6">
        <f t="shared" si="17"/>
        <v>495.521</v>
      </c>
      <c r="L31" s="6">
        <f t="shared" si="18"/>
        <v>8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hidden="1">
      <c r="A32" s="28">
        <v>8.0</v>
      </c>
      <c r="B32" s="29" t="s">
        <v>16</v>
      </c>
      <c r="C32" s="30">
        <f t="shared" si="13"/>
        <v>4</v>
      </c>
      <c r="D32" s="31">
        <f t="shared" si="14"/>
        <v>7</v>
      </c>
      <c r="E32" s="31">
        <f t="shared" si="23"/>
        <v>1</v>
      </c>
      <c r="F32" s="31">
        <f t="shared" ref="F32:F33" si="24">COUNTIFS(L:L,B32,R:R,1)+COUNTIFS(O:O,B32,S:S,1)+1</f>
        <v>1</v>
      </c>
      <c r="G32" s="31">
        <f t="shared" ref="G32:G33" si="25">COUNTIFS(L:L,B32,R:R,0)+COUNTIFS(O:O,B32,S:S,0)+4</f>
        <v>5</v>
      </c>
      <c r="H32" s="31">
        <f>SUMIF(L:L,B32,M:M)+SUMIF(O:O,B32,N:N)+5</f>
        <v>5</v>
      </c>
      <c r="I32" s="31">
        <f>SUMIF(L:L,B32,N:N)+SUMIF(O:O,B32,M:M)+7</f>
        <v>8</v>
      </c>
      <c r="J32" s="31">
        <f t="shared" si="16"/>
        <v>-3</v>
      </c>
      <c r="K32" s="6">
        <f t="shared" si="17"/>
        <v>397.612</v>
      </c>
      <c r="L32" s="6">
        <f t="shared" si="18"/>
        <v>9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hidden="1">
      <c r="A33" s="28">
        <v>9.0</v>
      </c>
      <c r="B33" s="29" t="s">
        <v>22</v>
      </c>
      <c r="C33" s="30">
        <f t="shared" si="13"/>
        <v>5</v>
      </c>
      <c r="D33" s="31">
        <f t="shared" si="14"/>
        <v>7</v>
      </c>
      <c r="E33" s="31">
        <f t="shared" si="23"/>
        <v>1</v>
      </c>
      <c r="F33" s="31">
        <f t="shared" si="24"/>
        <v>2</v>
      </c>
      <c r="G33" s="31">
        <f t="shared" si="25"/>
        <v>4</v>
      </c>
      <c r="H33" s="31">
        <f>SUMIF(L:L,B33,M:M)+SUMIF(O:O,B33,N:N)+3</f>
        <v>4</v>
      </c>
      <c r="I33" s="31">
        <f>SUMIF(L:L,B33,N:N)+SUMIF(O:O,B33,M:M)+6</f>
        <v>7</v>
      </c>
      <c r="J33" s="31">
        <f t="shared" si="16"/>
        <v>-3</v>
      </c>
      <c r="K33" s="6">
        <f t="shared" si="17"/>
        <v>497.503</v>
      </c>
      <c r="L33" s="6">
        <f t="shared" si="18"/>
        <v>7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hidden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</sheetData>
  <mergeCells count="4">
    <mergeCell ref="A1:J1"/>
    <mergeCell ref="L1:O1"/>
    <mergeCell ref="L7:O7"/>
    <mergeCell ref="A23:J23"/>
  </mergeCells>
  <hyperlinks>
    <hyperlink r:id="rId1" ref="A1"/>
    <hyperlink r:id="rId2" ref="U12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7.38"/>
    <col customWidth="1" min="3" max="3" width="3.38"/>
    <col customWidth="1" min="4" max="4" width="3.0"/>
    <col customWidth="1" min="5" max="5" width="3.38"/>
    <col customWidth="1" min="6" max="7" width="3.25"/>
    <col customWidth="1" min="8" max="8" width="3.38"/>
    <col customWidth="1" min="9" max="9" width="3.5"/>
    <col customWidth="1" min="10" max="10" width="3.25"/>
    <col customWidth="1" min="11" max="11" width="3.38"/>
    <col customWidth="1" min="12" max="12" width="17.38"/>
    <col customWidth="1" min="13" max="13" width="2.25"/>
    <col customWidth="1" min="14" max="14" width="2.13"/>
    <col customWidth="1" min="15" max="15" width="17.38"/>
    <col customWidth="1" hidden="1" min="16" max="16" width="0.75"/>
    <col customWidth="1" hidden="1" min="17" max="17" width="1.88"/>
    <col customWidth="1" hidden="1" min="18" max="18" width="3.0"/>
    <col customWidth="1" hidden="1" min="19" max="19" width="3.25"/>
    <col customWidth="1" min="20" max="20" width="2.13"/>
  </cols>
  <sheetData>
    <row r="1">
      <c r="A1" s="1" t="s">
        <v>28</v>
      </c>
      <c r="B1" s="2"/>
      <c r="C1" s="2"/>
      <c r="D1" s="2"/>
      <c r="E1" s="2"/>
      <c r="F1" s="2"/>
      <c r="G1" s="2"/>
      <c r="H1" s="2"/>
      <c r="I1" s="2"/>
      <c r="J1" s="3"/>
      <c r="K1" s="4"/>
      <c r="L1" s="5" t="s">
        <v>1</v>
      </c>
      <c r="M1" s="2"/>
      <c r="N1" s="2"/>
      <c r="O1" s="3"/>
      <c r="P1" s="6"/>
      <c r="Q1" s="6" t="s">
        <v>2</v>
      </c>
      <c r="R1" s="6" t="s">
        <v>3</v>
      </c>
      <c r="S1" s="6" t="s">
        <v>4</v>
      </c>
      <c r="T1" s="7"/>
      <c r="U1" s="7"/>
      <c r="V1" s="7"/>
      <c r="W1" s="7"/>
      <c r="X1" s="7"/>
      <c r="Y1" s="7"/>
      <c r="Z1" s="7"/>
      <c r="AA1" s="7"/>
    </row>
    <row r="2">
      <c r="A2" s="8" t="s">
        <v>5</v>
      </c>
      <c r="B2" s="9" t="s">
        <v>6</v>
      </c>
      <c r="C2" s="10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0" t="s">
        <v>13</v>
      </c>
      <c r="J2" s="10" t="s">
        <v>14</v>
      </c>
      <c r="K2" s="4"/>
      <c r="L2" s="11" t="s">
        <v>29</v>
      </c>
      <c r="M2" s="11">
        <v>3.0</v>
      </c>
      <c r="N2" s="11">
        <v>0.0</v>
      </c>
      <c r="O2" s="11" t="s">
        <v>30</v>
      </c>
      <c r="P2" s="6"/>
      <c r="Q2" s="12">
        <f t="shared" ref="Q2:Q11" si="2">+IF(AND(M2&lt;&gt;"",N2&lt;&gt;""),1,0)</f>
        <v>1</v>
      </c>
      <c r="R2" s="6">
        <f t="shared" ref="R2:R11" si="3">IF(OR(M2="",N2=""), "", IF(M2=N2, 1, IF(M2&gt;N2, 3, 0)))</f>
        <v>3</v>
      </c>
      <c r="S2" s="6">
        <f t="shared" ref="S2:S11" si="4">IF(OR(M2="",N2=""), "", IF(M2=N2, 1, IF(M2&lt;N2, 3, 0)))</f>
        <v>0</v>
      </c>
      <c r="T2" s="7"/>
      <c r="U2" s="7"/>
      <c r="V2" s="7"/>
      <c r="W2" s="7"/>
      <c r="X2" s="7"/>
      <c r="Y2" s="7"/>
      <c r="Z2" s="7"/>
      <c r="AA2" s="7"/>
    </row>
    <row r="3">
      <c r="A3" s="13">
        <v>1.0</v>
      </c>
      <c r="B3" s="14" t="str">
        <f t="shared" ref="B3:J3" si="1">INDEX(B$25:B$33,MATCH($A3,$L$25:$L$33,0))</f>
        <v>Central Norte (S)</v>
      </c>
      <c r="C3" s="14">
        <f t="shared" si="1"/>
        <v>15</v>
      </c>
      <c r="D3" s="14">
        <f t="shared" si="1"/>
        <v>7</v>
      </c>
      <c r="E3" s="14">
        <f t="shared" si="1"/>
        <v>5</v>
      </c>
      <c r="F3" s="14">
        <f t="shared" si="1"/>
        <v>0</v>
      </c>
      <c r="G3" s="14">
        <f t="shared" si="1"/>
        <v>2</v>
      </c>
      <c r="H3" s="14">
        <f t="shared" si="1"/>
        <v>12</v>
      </c>
      <c r="I3" s="14">
        <f t="shared" si="1"/>
        <v>6</v>
      </c>
      <c r="J3" s="14">
        <f t="shared" si="1"/>
        <v>6</v>
      </c>
      <c r="K3" s="4"/>
      <c r="L3" s="11" t="s">
        <v>31</v>
      </c>
      <c r="M3" s="11">
        <v>1.0</v>
      </c>
      <c r="N3" s="11">
        <v>1.0</v>
      </c>
      <c r="O3" s="11" t="s">
        <v>32</v>
      </c>
      <c r="P3" s="6"/>
      <c r="Q3" s="12">
        <f t="shared" si="2"/>
        <v>1</v>
      </c>
      <c r="R3" s="6">
        <f t="shared" si="3"/>
        <v>1</v>
      </c>
      <c r="S3" s="6">
        <f t="shared" si="4"/>
        <v>1</v>
      </c>
      <c r="T3" s="7"/>
      <c r="U3" s="7"/>
      <c r="V3" s="7"/>
      <c r="W3" s="7"/>
      <c r="X3" s="7"/>
      <c r="Y3" s="7"/>
      <c r="Z3" s="7"/>
      <c r="AA3" s="7"/>
    </row>
    <row r="4">
      <c r="A4" s="13">
        <v>2.0</v>
      </c>
      <c r="B4" s="14" t="str">
        <f t="shared" ref="B4:J4" si="5">INDEX(B$25:B$33,MATCH($A4,$L$25:$L$33,0))</f>
        <v>Sarmiento (LB)</v>
      </c>
      <c r="C4" s="14">
        <f t="shared" si="5"/>
        <v>14</v>
      </c>
      <c r="D4" s="14">
        <f t="shared" si="5"/>
        <v>7</v>
      </c>
      <c r="E4" s="14">
        <f t="shared" si="5"/>
        <v>4</v>
      </c>
      <c r="F4" s="14">
        <f t="shared" si="5"/>
        <v>2</v>
      </c>
      <c r="G4" s="14">
        <f t="shared" si="5"/>
        <v>1</v>
      </c>
      <c r="H4" s="14">
        <f t="shared" si="5"/>
        <v>4</v>
      </c>
      <c r="I4" s="14">
        <f t="shared" si="5"/>
        <v>2</v>
      </c>
      <c r="J4" s="14">
        <f t="shared" si="5"/>
        <v>2</v>
      </c>
      <c r="K4" s="4"/>
      <c r="L4" s="11" t="s">
        <v>33</v>
      </c>
      <c r="M4" s="11">
        <v>0.0</v>
      </c>
      <c r="N4" s="11">
        <v>1.0</v>
      </c>
      <c r="O4" s="11" t="s">
        <v>34</v>
      </c>
      <c r="P4" s="6"/>
      <c r="Q4" s="12">
        <f t="shared" si="2"/>
        <v>1</v>
      </c>
      <c r="R4" s="6">
        <f t="shared" si="3"/>
        <v>0</v>
      </c>
      <c r="S4" s="6">
        <f t="shared" si="4"/>
        <v>3</v>
      </c>
      <c r="T4" s="7"/>
      <c r="U4" s="7"/>
      <c r="V4" s="7"/>
      <c r="W4" s="7"/>
      <c r="X4" s="7"/>
      <c r="Y4" s="7"/>
      <c r="Z4" s="7"/>
      <c r="AA4" s="7"/>
    </row>
    <row r="5">
      <c r="A5" s="16">
        <v>3.0</v>
      </c>
      <c r="B5" s="17" t="str">
        <f t="shared" ref="B5:J5" si="6">INDEX(B$25:B$33,MATCH($A5,$L$25:$L$33,0))</f>
        <v>Sp. Belgrano (SF)</v>
      </c>
      <c r="C5" s="17">
        <f t="shared" si="6"/>
        <v>13</v>
      </c>
      <c r="D5" s="17">
        <f t="shared" si="6"/>
        <v>7</v>
      </c>
      <c r="E5" s="17">
        <f t="shared" si="6"/>
        <v>4</v>
      </c>
      <c r="F5" s="17">
        <f t="shared" si="6"/>
        <v>1</v>
      </c>
      <c r="G5" s="17">
        <f t="shared" si="6"/>
        <v>2</v>
      </c>
      <c r="H5" s="17">
        <f t="shared" si="6"/>
        <v>7</v>
      </c>
      <c r="I5" s="17">
        <f t="shared" si="6"/>
        <v>5</v>
      </c>
      <c r="J5" s="17">
        <f t="shared" si="6"/>
        <v>2</v>
      </c>
      <c r="K5" s="6"/>
      <c r="L5" s="11" t="s">
        <v>35</v>
      </c>
      <c r="M5" s="11">
        <v>2.0</v>
      </c>
      <c r="N5" s="11">
        <v>0.0</v>
      </c>
      <c r="O5" s="11" t="s">
        <v>36</v>
      </c>
      <c r="P5" s="6"/>
      <c r="Q5" s="12">
        <f t="shared" si="2"/>
        <v>1</v>
      </c>
      <c r="R5" s="6">
        <f t="shared" si="3"/>
        <v>3</v>
      </c>
      <c r="S5" s="6">
        <f t="shared" si="4"/>
        <v>0</v>
      </c>
      <c r="T5" s="7"/>
      <c r="U5" s="7"/>
      <c r="V5" s="18"/>
      <c r="W5" s="7"/>
      <c r="X5" s="7"/>
      <c r="Y5" s="7"/>
      <c r="Z5" s="7"/>
      <c r="AA5" s="7"/>
    </row>
    <row r="6">
      <c r="A6" s="16">
        <v>4.0</v>
      </c>
      <c r="B6" s="17" t="str">
        <f t="shared" ref="B6:J6" si="7">INDEX(B$25:B$33,MATCH($A6,$L$25:$L$33,0))</f>
        <v>San Martín (F)</v>
      </c>
      <c r="C6" s="17">
        <f t="shared" si="7"/>
        <v>12</v>
      </c>
      <c r="D6" s="17">
        <f t="shared" si="7"/>
        <v>7</v>
      </c>
      <c r="E6" s="17">
        <f t="shared" si="7"/>
        <v>3</v>
      </c>
      <c r="F6" s="17">
        <f t="shared" si="7"/>
        <v>3</v>
      </c>
      <c r="G6" s="17">
        <f t="shared" si="7"/>
        <v>1</v>
      </c>
      <c r="H6" s="17">
        <f t="shared" si="7"/>
        <v>6</v>
      </c>
      <c r="I6" s="17">
        <f t="shared" si="7"/>
        <v>4</v>
      </c>
      <c r="J6" s="17">
        <f t="shared" si="7"/>
        <v>2</v>
      </c>
      <c r="K6" s="6"/>
      <c r="Q6" s="12">
        <f t="shared" si="2"/>
        <v>0</v>
      </c>
      <c r="R6" s="6" t="str">
        <f t="shared" si="3"/>
        <v/>
      </c>
      <c r="S6" s="6" t="str">
        <f t="shared" si="4"/>
        <v/>
      </c>
      <c r="T6" s="7"/>
      <c r="U6" s="7"/>
      <c r="V6" s="18"/>
      <c r="W6" s="7"/>
      <c r="X6" s="7"/>
      <c r="Y6" s="7"/>
      <c r="Z6" s="7"/>
      <c r="AA6" s="7"/>
    </row>
    <row r="7">
      <c r="A7" s="16">
        <v>5.0</v>
      </c>
      <c r="B7" s="17" t="str">
        <f t="shared" ref="B7:J7" si="8">INDEX(B$25:B$33,MATCH($A7,$L$25:$L$33,0))</f>
        <v>Sp. Las Parejas</v>
      </c>
      <c r="C7" s="17">
        <f t="shared" si="8"/>
        <v>9</v>
      </c>
      <c r="D7" s="17">
        <f t="shared" si="8"/>
        <v>7</v>
      </c>
      <c r="E7" s="17">
        <f t="shared" si="8"/>
        <v>3</v>
      </c>
      <c r="F7" s="17">
        <f t="shared" si="8"/>
        <v>0</v>
      </c>
      <c r="G7" s="17">
        <f t="shared" si="8"/>
        <v>4</v>
      </c>
      <c r="H7" s="17">
        <f t="shared" si="8"/>
        <v>6</v>
      </c>
      <c r="I7" s="17">
        <f t="shared" si="8"/>
        <v>9</v>
      </c>
      <c r="J7" s="17">
        <f t="shared" si="8"/>
        <v>-3</v>
      </c>
      <c r="K7" s="6"/>
      <c r="L7" s="5" t="s">
        <v>23</v>
      </c>
      <c r="M7" s="2"/>
      <c r="N7" s="2"/>
      <c r="O7" s="3"/>
      <c r="Q7" s="12">
        <f t="shared" si="2"/>
        <v>0</v>
      </c>
      <c r="R7" s="6" t="str">
        <f t="shared" si="3"/>
        <v/>
      </c>
      <c r="S7" s="6" t="str">
        <f t="shared" si="4"/>
        <v/>
      </c>
      <c r="T7" s="7"/>
      <c r="U7" s="7"/>
      <c r="W7" s="7"/>
      <c r="X7" s="7"/>
      <c r="Y7" s="7"/>
      <c r="Z7" s="7"/>
      <c r="AA7" s="7"/>
    </row>
    <row r="8">
      <c r="A8" s="16">
        <v>6.0</v>
      </c>
      <c r="B8" s="17" t="str">
        <f t="shared" ref="B8:J8" si="9">INDEX(B$25:B$33,MATCH($A8,$L$25:$L$33,0))</f>
        <v>Sol de América (F)</v>
      </c>
      <c r="C8" s="17">
        <f t="shared" si="9"/>
        <v>8</v>
      </c>
      <c r="D8" s="17">
        <f t="shared" si="9"/>
        <v>7</v>
      </c>
      <c r="E8" s="17">
        <f t="shared" si="9"/>
        <v>2</v>
      </c>
      <c r="F8" s="17">
        <f t="shared" si="9"/>
        <v>2</v>
      </c>
      <c r="G8" s="17">
        <f t="shared" si="9"/>
        <v>3</v>
      </c>
      <c r="H8" s="17">
        <f t="shared" si="9"/>
        <v>6</v>
      </c>
      <c r="I8" s="17">
        <f t="shared" si="9"/>
        <v>6</v>
      </c>
      <c r="J8" s="17">
        <f t="shared" si="9"/>
        <v>0</v>
      </c>
      <c r="K8" s="6"/>
      <c r="L8" s="11" t="s">
        <v>36</v>
      </c>
      <c r="M8" s="11"/>
      <c r="N8" s="11"/>
      <c r="O8" s="11" t="s">
        <v>37</v>
      </c>
      <c r="Q8" s="12">
        <f t="shared" si="2"/>
        <v>0</v>
      </c>
      <c r="R8" s="6" t="str">
        <f t="shared" si="3"/>
        <v/>
      </c>
      <c r="S8" s="6" t="str">
        <f t="shared" si="4"/>
        <v/>
      </c>
      <c r="T8" s="7"/>
      <c r="U8" s="7"/>
      <c r="V8" s="18"/>
      <c r="W8" s="7"/>
      <c r="X8" s="7"/>
      <c r="Y8" s="7"/>
      <c r="Z8" s="7"/>
      <c r="AA8" s="7"/>
    </row>
    <row r="9">
      <c r="A9" s="19">
        <v>7.0</v>
      </c>
      <c r="B9" s="17" t="str">
        <f t="shared" ref="B9:J9" si="10">INDEX(B$25:B$33,MATCH($A9,$L$25:$L$33,0))</f>
        <v>Atenas (RC)</v>
      </c>
      <c r="C9" s="17">
        <f t="shared" si="10"/>
        <v>8</v>
      </c>
      <c r="D9" s="17">
        <f t="shared" si="10"/>
        <v>8</v>
      </c>
      <c r="E9" s="17">
        <f t="shared" si="10"/>
        <v>2</v>
      </c>
      <c r="F9" s="17">
        <f t="shared" si="10"/>
        <v>2</v>
      </c>
      <c r="G9" s="17">
        <f t="shared" si="10"/>
        <v>4</v>
      </c>
      <c r="H9" s="17">
        <f t="shared" si="10"/>
        <v>5</v>
      </c>
      <c r="I9" s="17">
        <f t="shared" si="10"/>
        <v>8</v>
      </c>
      <c r="J9" s="17">
        <f t="shared" si="10"/>
        <v>-3</v>
      </c>
      <c r="K9" s="6"/>
      <c r="L9" s="11" t="s">
        <v>34</v>
      </c>
      <c r="M9" s="11"/>
      <c r="N9" s="11"/>
      <c r="O9" s="11" t="s">
        <v>35</v>
      </c>
      <c r="Q9" s="12">
        <f t="shared" si="2"/>
        <v>0</v>
      </c>
      <c r="R9" s="6" t="str">
        <f t="shared" si="3"/>
        <v/>
      </c>
      <c r="S9" s="6" t="str">
        <f t="shared" si="4"/>
        <v/>
      </c>
      <c r="V9" s="18"/>
      <c r="W9" s="7"/>
      <c r="X9" s="7"/>
      <c r="Y9" s="7"/>
      <c r="Z9" s="7"/>
      <c r="AA9" s="7"/>
    </row>
    <row r="10">
      <c r="A10" s="19">
        <v>8.0</v>
      </c>
      <c r="B10" s="17" t="str">
        <f t="shared" ref="B10:J10" si="11">INDEX(B$25:B$33,MATCH($A10,$L$25:$L$33,0))</f>
        <v>9 de Julio (R)</v>
      </c>
      <c r="C10" s="17">
        <f t="shared" si="11"/>
        <v>5</v>
      </c>
      <c r="D10" s="17">
        <f t="shared" si="11"/>
        <v>7</v>
      </c>
      <c r="E10" s="17">
        <f t="shared" si="11"/>
        <v>1</v>
      </c>
      <c r="F10" s="17">
        <f t="shared" si="11"/>
        <v>2</v>
      </c>
      <c r="G10" s="17">
        <f t="shared" si="11"/>
        <v>4</v>
      </c>
      <c r="H10" s="17">
        <f t="shared" si="11"/>
        <v>3</v>
      </c>
      <c r="I10" s="17">
        <f t="shared" si="11"/>
        <v>6</v>
      </c>
      <c r="J10" s="17">
        <f t="shared" si="11"/>
        <v>-3</v>
      </c>
      <c r="K10" s="6"/>
      <c r="L10" s="11" t="s">
        <v>30</v>
      </c>
      <c r="M10" s="11"/>
      <c r="N10" s="11"/>
      <c r="O10" s="11" t="s">
        <v>33</v>
      </c>
      <c r="Q10" s="12">
        <f t="shared" si="2"/>
        <v>0</v>
      </c>
      <c r="R10" s="6" t="str">
        <f t="shared" si="3"/>
        <v/>
      </c>
      <c r="S10" s="6" t="str">
        <f t="shared" si="4"/>
        <v/>
      </c>
      <c r="T10" s="7"/>
      <c r="U10" s="7"/>
      <c r="V10" s="18"/>
      <c r="W10" s="7"/>
      <c r="X10" s="7"/>
      <c r="Y10" s="7"/>
      <c r="Z10" s="7"/>
      <c r="AA10" s="7"/>
    </row>
    <row r="11">
      <c r="A11" s="19">
        <v>9.0</v>
      </c>
      <c r="B11" s="17" t="str">
        <f t="shared" ref="B11:J11" si="12">INDEX(B$25:B$33,MATCH($A11,$L$25:$L$33,0))</f>
        <v>Def. de Belgrano (VR)</v>
      </c>
      <c r="C11" s="17">
        <f t="shared" si="12"/>
        <v>4</v>
      </c>
      <c r="D11" s="17">
        <f t="shared" si="12"/>
        <v>7</v>
      </c>
      <c r="E11" s="17">
        <f t="shared" si="12"/>
        <v>0</v>
      </c>
      <c r="F11" s="17">
        <f t="shared" si="12"/>
        <v>4</v>
      </c>
      <c r="G11" s="17">
        <f t="shared" si="12"/>
        <v>3</v>
      </c>
      <c r="H11" s="17">
        <f t="shared" si="12"/>
        <v>3</v>
      </c>
      <c r="I11" s="17">
        <f t="shared" si="12"/>
        <v>6</v>
      </c>
      <c r="J11" s="17">
        <f t="shared" si="12"/>
        <v>-3</v>
      </c>
      <c r="K11" s="6"/>
      <c r="L11" s="11" t="s">
        <v>32</v>
      </c>
      <c r="M11" s="11"/>
      <c r="N11" s="11"/>
      <c r="O11" s="11" t="s">
        <v>29</v>
      </c>
      <c r="P11" s="6"/>
      <c r="Q11" s="12">
        <f t="shared" si="2"/>
        <v>0</v>
      </c>
      <c r="R11" s="6" t="str">
        <f t="shared" si="3"/>
        <v/>
      </c>
      <c r="S11" s="6" t="str">
        <f t="shared" si="4"/>
        <v/>
      </c>
      <c r="T11" s="7"/>
      <c r="U11" s="7"/>
      <c r="V11" s="18"/>
      <c r="W11" s="7"/>
      <c r="X11" s="7"/>
      <c r="Y11" s="7"/>
      <c r="Z11" s="7"/>
      <c r="AA11" s="7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P12" s="6"/>
      <c r="Q12" s="6"/>
      <c r="R12" s="6"/>
      <c r="S12" s="6"/>
      <c r="T12" s="7"/>
      <c r="U12" s="20" t="s">
        <v>25</v>
      </c>
      <c r="V12" s="7"/>
      <c r="W12" s="7"/>
      <c r="X12" s="7"/>
      <c r="Y12" s="7"/>
      <c r="Z12" s="7"/>
      <c r="AA12" s="7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P13" s="6"/>
      <c r="Q13" s="6"/>
      <c r="R13" s="6"/>
      <c r="S13" s="6"/>
      <c r="T13" s="7"/>
      <c r="U13" s="7"/>
      <c r="V13" s="7"/>
      <c r="W13" s="7"/>
      <c r="X13" s="7"/>
      <c r="Y13" s="7"/>
      <c r="Z13" s="7"/>
      <c r="AA13" s="7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P14" s="6"/>
      <c r="Q14" s="6"/>
      <c r="R14" s="6"/>
      <c r="S14" s="6"/>
      <c r="T14" s="7"/>
      <c r="U14" s="7"/>
      <c r="V14" s="7"/>
      <c r="W14" s="7"/>
      <c r="X14" s="7"/>
      <c r="Y14" s="7"/>
      <c r="Z14" s="7"/>
      <c r="AA14" s="7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P15" s="6"/>
      <c r="Q15" s="6"/>
      <c r="R15" s="6"/>
      <c r="S15" s="6"/>
      <c r="T15" s="7"/>
      <c r="U15" s="7"/>
      <c r="V15" s="7"/>
      <c r="W15" s="7"/>
      <c r="X15" s="7"/>
      <c r="Y15" s="7"/>
      <c r="Z15" s="7"/>
      <c r="AA15" s="7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P16" s="6"/>
      <c r="Q16" s="6"/>
      <c r="R16" s="6"/>
      <c r="S16" s="6"/>
      <c r="T16" s="7"/>
      <c r="U16" s="7"/>
      <c r="V16" s="7"/>
      <c r="W16" s="7"/>
      <c r="X16" s="7"/>
      <c r="Y16" s="7"/>
      <c r="Z16" s="7"/>
      <c r="AA16" s="7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P18" s="6"/>
      <c r="Q18" s="6"/>
      <c r="R18" s="6"/>
      <c r="S18" s="6"/>
      <c r="T18" s="7"/>
      <c r="U18" s="7"/>
      <c r="V18" s="7"/>
      <c r="W18" s="7"/>
      <c r="X18" s="7"/>
      <c r="Y18" s="7"/>
      <c r="Z18" s="7"/>
      <c r="AA18" s="7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P19" s="6"/>
      <c r="Q19" s="6"/>
      <c r="R19" s="6"/>
      <c r="S19" s="6"/>
      <c r="T19" s="7"/>
      <c r="U19" s="7"/>
      <c r="V19" s="7"/>
      <c r="W19" s="7"/>
      <c r="X19" s="7"/>
      <c r="Y19" s="7"/>
      <c r="Z19" s="7"/>
      <c r="AA19" s="7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P20" s="6"/>
      <c r="Q20" s="6"/>
      <c r="R20" s="6"/>
      <c r="S20" s="6"/>
      <c r="T20" s="7"/>
      <c r="U20" s="7"/>
      <c r="V20" s="7"/>
      <c r="W20" s="7"/>
      <c r="X20" s="7"/>
      <c r="Y20" s="7"/>
      <c r="Z20" s="7"/>
      <c r="AA20" s="7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7"/>
      <c r="U21" s="7"/>
      <c r="V21" s="7"/>
      <c r="W21" s="7"/>
      <c r="X21" s="7"/>
      <c r="Y21" s="7"/>
      <c r="Z21" s="7"/>
      <c r="AA21" s="7"/>
    </row>
    <row r="22" hidden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6"/>
      <c r="L22" s="6"/>
      <c r="M22" s="6"/>
      <c r="N22" s="6"/>
      <c r="O22" s="6"/>
      <c r="P22" s="6"/>
      <c r="Q22" s="6"/>
      <c r="R22" s="6"/>
      <c r="S22" s="6"/>
      <c r="T22" s="7"/>
      <c r="U22" s="7"/>
      <c r="V22" s="7"/>
      <c r="W22" s="7"/>
      <c r="X22" s="7"/>
      <c r="Y22" s="7"/>
      <c r="Z22" s="7"/>
      <c r="AA22" s="7"/>
    </row>
    <row r="23" hidden="1">
      <c r="A23" s="22" t="s">
        <v>26</v>
      </c>
      <c r="B23" s="23"/>
      <c r="C23" s="23"/>
      <c r="D23" s="23"/>
      <c r="E23" s="23"/>
      <c r="F23" s="23"/>
      <c r="G23" s="23"/>
      <c r="H23" s="23"/>
      <c r="I23" s="23"/>
      <c r="J23" s="24"/>
      <c r="K23" s="6"/>
      <c r="L23" s="6"/>
      <c r="M23" s="6"/>
      <c r="N23" s="6"/>
      <c r="O23" s="6"/>
      <c r="P23" s="6"/>
      <c r="Q23" s="6"/>
      <c r="R23" s="6"/>
      <c r="S23" s="6"/>
      <c r="T23" s="7"/>
      <c r="U23" s="7"/>
      <c r="V23" s="7"/>
      <c r="W23" s="7"/>
      <c r="X23" s="7"/>
      <c r="Y23" s="7"/>
      <c r="Z23" s="7"/>
      <c r="AA23" s="7"/>
    </row>
    <row r="24" hidden="1">
      <c r="A24" s="8" t="s">
        <v>5</v>
      </c>
      <c r="B24" s="10" t="s">
        <v>27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0" t="s">
        <v>14</v>
      </c>
      <c r="K24" s="6"/>
      <c r="L24" s="6"/>
      <c r="M24" s="6"/>
      <c r="N24" s="6"/>
      <c r="O24" s="6"/>
      <c r="P24" s="6"/>
      <c r="Q24" s="6"/>
      <c r="R24" s="6"/>
      <c r="S24" s="6"/>
      <c r="T24" s="7"/>
      <c r="U24" s="7"/>
      <c r="V24" s="7"/>
      <c r="W24" s="7"/>
      <c r="X24" s="7"/>
      <c r="Y24" s="7"/>
      <c r="Z24" s="7"/>
      <c r="AA24" s="7"/>
    </row>
    <row r="25" hidden="1">
      <c r="A25" s="15">
        <v>1.0</v>
      </c>
      <c r="B25" s="25" t="s">
        <v>37</v>
      </c>
      <c r="C25" s="26">
        <f t="shared" ref="C25:C33" si="13">E25*3+F25</f>
        <v>15</v>
      </c>
      <c r="D25" s="27">
        <f t="shared" ref="D25:D33" si="14">E25+F25+G25</f>
        <v>7</v>
      </c>
      <c r="E25" s="27">
        <f>COUNTIFS(L:L,B25,R:R,3)+COUNTIFS(O:O,B25,S:S,3)+5</f>
        <v>5</v>
      </c>
      <c r="F25" s="27">
        <f>COUNTIFS(L:L,B25,R:R,1)+COUNTIFS(O:O,B25,S:S,1)</f>
        <v>0</v>
      </c>
      <c r="G25" s="27">
        <f t="shared" ref="G25:G26" si="15">COUNTIFS(L:L,B25,R:R,0)+COUNTIFS(O:O,B25,S:S,0)+2</f>
        <v>2</v>
      </c>
      <c r="H25" s="27">
        <f>SUMIF(L:L,B25,M:M)+SUMIF(O:O,B25,N:N)+12</f>
        <v>12</v>
      </c>
      <c r="I25" s="27">
        <f>SUMIF(L:L,B25,N:N)+SUMIF(O:O,B25,M:M)+6</f>
        <v>6</v>
      </c>
      <c r="J25" s="27">
        <f t="shared" ref="J25:J33" si="16">H25-I25</f>
        <v>6</v>
      </c>
      <c r="K25" s="6">
        <f t="shared" ref="K25:K33" si="17">C25*100+J25+(H25/10)+(I25/100)+ROW()/1000</f>
        <v>1507.285</v>
      </c>
      <c r="L25" s="6">
        <f t="shared" ref="L25:L33" si="18">_xlfn.RANK.EQ(K25,$K$25:$K$33)</f>
        <v>1</v>
      </c>
      <c r="M25" s="6"/>
      <c r="N25" s="6"/>
      <c r="O25" s="6"/>
      <c r="P25" s="6"/>
      <c r="Q25" s="6"/>
      <c r="R25" s="6"/>
      <c r="S25" s="6"/>
      <c r="T25" s="7"/>
      <c r="U25" s="7"/>
      <c r="V25" s="7"/>
      <c r="W25" s="7"/>
      <c r="X25" s="7"/>
      <c r="Y25" s="7"/>
      <c r="Z25" s="7"/>
      <c r="AA25" s="7"/>
    </row>
    <row r="26" hidden="1">
      <c r="A26" s="32">
        <v>3.0</v>
      </c>
      <c r="B26" s="29" t="s">
        <v>29</v>
      </c>
      <c r="C26" s="30">
        <f t="shared" si="13"/>
        <v>13</v>
      </c>
      <c r="D26" s="31">
        <f t="shared" si="14"/>
        <v>7</v>
      </c>
      <c r="E26" s="31">
        <f t="shared" ref="E26:E29" si="19">COUNTIFS(L:L,B26,R:R,3)+COUNTIFS(O:O,B26,S:S,3)+3</f>
        <v>4</v>
      </c>
      <c r="F26" s="31">
        <f>COUNTIFS(L:L,B26,R:R,1)+COUNTIFS(O:O,B26,S:S,1)+1</f>
        <v>1</v>
      </c>
      <c r="G26" s="31">
        <f t="shared" si="15"/>
        <v>2</v>
      </c>
      <c r="H26" s="31">
        <f>SUMIF(L:L,B26,M:M)+SUMIF(O:O,B26,N:N)+4</f>
        <v>7</v>
      </c>
      <c r="I26" s="31">
        <f>SUMIF(L:L,B26,N:N)+SUMIF(O:O,B26,M:M)+5</f>
        <v>5</v>
      </c>
      <c r="J26" s="31">
        <f t="shared" si="16"/>
        <v>2</v>
      </c>
      <c r="K26" s="6">
        <f t="shared" si="17"/>
        <v>1302.776</v>
      </c>
      <c r="L26" s="6">
        <f t="shared" si="18"/>
        <v>3</v>
      </c>
      <c r="M26" s="6"/>
      <c r="N26" s="6"/>
      <c r="O26" s="6"/>
      <c r="P26" s="6"/>
      <c r="Q26" s="6"/>
      <c r="R26" s="6"/>
      <c r="S26" s="6"/>
      <c r="T26" s="7"/>
      <c r="U26" s="7"/>
      <c r="V26" s="7"/>
      <c r="W26" s="7"/>
      <c r="X26" s="7"/>
      <c r="Y26" s="7"/>
      <c r="Z26" s="7"/>
      <c r="AA26" s="7"/>
    </row>
    <row r="27" hidden="1">
      <c r="A27" s="32">
        <v>3.0</v>
      </c>
      <c r="B27" s="29" t="s">
        <v>30</v>
      </c>
      <c r="C27" s="30">
        <f t="shared" si="13"/>
        <v>12</v>
      </c>
      <c r="D27" s="31">
        <f t="shared" si="14"/>
        <v>7</v>
      </c>
      <c r="E27" s="31">
        <f t="shared" si="19"/>
        <v>3</v>
      </c>
      <c r="F27" s="31">
        <f>COUNTIFS(L:L,B27,R:R,1)+COUNTIFS(O:O,B27,S:S,1)+3</f>
        <v>3</v>
      </c>
      <c r="G27" s="31">
        <f>COUNTIFS(L:L,B27,R:R,0)+COUNTIFS(O:O,B27,S:S,0)</f>
        <v>1</v>
      </c>
      <c r="H27" s="31">
        <f>SUMIF(L:L,B27,M:M)+SUMIF(O:O,B27,N:N)+6</f>
        <v>6</v>
      </c>
      <c r="I27" s="31">
        <f>SUMIF(L:L,B27,N:N)+SUMIF(O:O,B27,M:M)+1</f>
        <v>4</v>
      </c>
      <c r="J27" s="31">
        <f t="shared" si="16"/>
        <v>2</v>
      </c>
      <c r="K27" s="6">
        <f t="shared" si="17"/>
        <v>1202.667</v>
      </c>
      <c r="L27" s="6">
        <f t="shared" si="18"/>
        <v>4</v>
      </c>
      <c r="M27" s="6"/>
      <c r="N27" s="6"/>
      <c r="O27" s="6"/>
      <c r="P27" s="6"/>
      <c r="Q27" s="6"/>
      <c r="R27" s="6"/>
      <c r="S27" s="6"/>
      <c r="T27" s="7"/>
      <c r="U27" s="7"/>
      <c r="V27" s="7"/>
      <c r="W27" s="7"/>
      <c r="X27" s="7"/>
      <c r="Y27" s="7"/>
      <c r="Z27" s="7"/>
      <c r="AA27" s="7"/>
    </row>
    <row r="28" hidden="1">
      <c r="A28" s="32">
        <v>4.0</v>
      </c>
      <c r="B28" s="29" t="s">
        <v>34</v>
      </c>
      <c r="C28" s="30">
        <f t="shared" si="13"/>
        <v>14</v>
      </c>
      <c r="D28" s="31">
        <f t="shared" si="14"/>
        <v>7</v>
      </c>
      <c r="E28" s="31">
        <f t="shared" si="19"/>
        <v>4</v>
      </c>
      <c r="F28" s="31">
        <f>COUNTIFS(L:L,B28,R:R,1)+COUNTIFS(O:O,B28,S:S,1)+2</f>
        <v>2</v>
      </c>
      <c r="G28" s="31">
        <f>COUNTIFS(L:L,B28,R:R,0)+COUNTIFS(O:O,B28,S:S,0)+1</f>
        <v>1</v>
      </c>
      <c r="H28" s="31">
        <f>SUMIF(L:L,B28,M:M)+SUMIF(O:O,B28,N:N)+3</f>
        <v>4</v>
      </c>
      <c r="I28" s="31">
        <f>SUMIF(L:L,B28,N:N)+SUMIF(O:O,B28,M:M)+2</f>
        <v>2</v>
      </c>
      <c r="J28" s="31">
        <f t="shared" si="16"/>
        <v>2</v>
      </c>
      <c r="K28" s="6">
        <f t="shared" si="17"/>
        <v>1402.448</v>
      </c>
      <c r="L28" s="6">
        <f t="shared" si="18"/>
        <v>2</v>
      </c>
      <c r="M28" s="6"/>
      <c r="N28" s="6"/>
      <c r="O28" s="6"/>
      <c r="P28" s="6"/>
      <c r="Q28" s="6"/>
      <c r="R28" s="6"/>
      <c r="S28" s="6"/>
      <c r="T28" s="7"/>
      <c r="U28" s="7"/>
      <c r="V28" s="7"/>
      <c r="W28" s="7"/>
      <c r="X28" s="7"/>
      <c r="Y28" s="7"/>
      <c r="Z28" s="7"/>
      <c r="AA28" s="7"/>
    </row>
    <row r="29" hidden="1">
      <c r="A29" s="32">
        <v>5.0</v>
      </c>
      <c r="B29" s="29" t="s">
        <v>33</v>
      </c>
      <c r="C29" s="30">
        <f t="shared" si="13"/>
        <v>9</v>
      </c>
      <c r="D29" s="31">
        <f t="shared" si="14"/>
        <v>7</v>
      </c>
      <c r="E29" s="31">
        <f t="shared" si="19"/>
        <v>3</v>
      </c>
      <c r="F29" s="31">
        <f>COUNTIFS(L:L,B29,R:R,1)+COUNTIFS(O:O,B29,S:S,1)</f>
        <v>0</v>
      </c>
      <c r="G29" s="31">
        <f>COUNTIFS(L:L,B29,R:R,0)+COUNTIFS(O:O,B29,S:S,0)+3</f>
        <v>4</v>
      </c>
      <c r="H29" s="31">
        <f>SUMIF(L:L,B29,M:M)+SUMIF(O:O,B29,N:N)+6</f>
        <v>6</v>
      </c>
      <c r="I29" s="31">
        <f>SUMIF(L:L,B29,N:N)+SUMIF(O:O,B29,M:M)+8</f>
        <v>9</v>
      </c>
      <c r="J29" s="31">
        <f t="shared" si="16"/>
        <v>-3</v>
      </c>
      <c r="K29" s="6">
        <f t="shared" si="17"/>
        <v>897.719</v>
      </c>
      <c r="L29" s="6">
        <f t="shared" si="18"/>
        <v>5</v>
      </c>
      <c r="M29" s="6"/>
      <c r="N29" s="6"/>
      <c r="O29" s="6"/>
      <c r="P29" s="6"/>
      <c r="Q29" s="6"/>
      <c r="R29" s="6"/>
      <c r="S29" s="6"/>
      <c r="T29" s="7"/>
      <c r="U29" s="7"/>
      <c r="V29" s="7"/>
      <c r="W29" s="7"/>
      <c r="X29" s="7"/>
      <c r="Y29" s="7"/>
      <c r="Z29" s="7"/>
      <c r="AA29" s="7"/>
    </row>
    <row r="30" hidden="1">
      <c r="A30" s="32">
        <v>6.0</v>
      </c>
      <c r="B30" s="29" t="s">
        <v>31</v>
      </c>
      <c r="C30" s="30">
        <f t="shared" si="13"/>
        <v>8</v>
      </c>
      <c r="D30" s="31">
        <f t="shared" si="14"/>
        <v>8</v>
      </c>
      <c r="E30" s="31">
        <f>COUNTIFS(L:L,B30,R:R,3)+COUNTIFS(O:O,B30,S:S,3)+2</f>
        <v>2</v>
      </c>
      <c r="F30" s="31">
        <f>COUNTIFS(L:L,B30,R:R,1)+COUNTIFS(O:O,B30,S:S,1)+1</f>
        <v>2</v>
      </c>
      <c r="G30" s="31">
        <f>COUNTIFS(L:L,B30,R:R,0)+COUNTIFS(O:O,B30,S:S,0)+4</f>
        <v>4</v>
      </c>
      <c r="H30" s="31">
        <f>SUMIF(L:L,B30,M:M)+SUMIF(O:O,B30,N:N)+4</f>
        <v>5</v>
      </c>
      <c r="I30" s="31">
        <f>SUMIF(L:L,B30,N:N)+SUMIF(O:O,B30,M:M)+7</f>
        <v>8</v>
      </c>
      <c r="J30" s="31">
        <f t="shared" si="16"/>
        <v>-3</v>
      </c>
      <c r="K30" s="6">
        <f t="shared" si="17"/>
        <v>797.61</v>
      </c>
      <c r="L30" s="6">
        <f t="shared" si="18"/>
        <v>7</v>
      </c>
      <c r="M30" s="6"/>
      <c r="N30" s="6"/>
      <c r="O30" s="6"/>
      <c r="P30" s="6"/>
      <c r="Q30" s="6"/>
      <c r="R30" s="6"/>
      <c r="S30" s="6"/>
      <c r="T30" s="7"/>
      <c r="U30" s="7"/>
      <c r="V30" s="7"/>
      <c r="W30" s="7"/>
      <c r="X30" s="7"/>
      <c r="Y30" s="7"/>
      <c r="Z30" s="7"/>
      <c r="AA30" s="7"/>
    </row>
    <row r="31" hidden="1">
      <c r="A31" s="28">
        <v>7.0</v>
      </c>
      <c r="B31" s="29" t="s">
        <v>36</v>
      </c>
      <c r="C31" s="30">
        <f t="shared" si="13"/>
        <v>5</v>
      </c>
      <c r="D31" s="31">
        <f t="shared" si="14"/>
        <v>7</v>
      </c>
      <c r="E31" s="31">
        <f t="shared" ref="E31:E32" si="20">COUNTIFS(L:L,B31,R:R,3)+COUNTIFS(O:O,B31,S:S,3)+1</f>
        <v>1</v>
      </c>
      <c r="F31" s="31">
        <f t="shared" ref="F31:F32" si="21">COUNTIFS(L:L,B31,R:R,1)+COUNTIFS(O:O,B31,S:S,1)+2</f>
        <v>2</v>
      </c>
      <c r="G31" s="31">
        <f t="shared" ref="G31:G33" si="22">COUNTIFS(L:L,B31,R:R,0)+COUNTIFS(O:O,B31,S:S,0)+3</f>
        <v>4</v>
      </c>
      <c r="H31" s="31">
        <f>SUMIF(L:L,B31,M:M)+SUMIF(O:O,B31,N:N)+3</f>
        <v>3</v>
      </c>
      <c r="I31" s="31">
        <f>SUMIF(L:L,B31,N:N)+SUMIF(O:O,B31,M:M)+4</f>
        <v>6</v>
      </c>
      <c r="J31" s="31">
        <f t="shared" si="16"/>
        <v>-3</v>
      </c>
      <c r="K31" s="6">
        <f t="shared" si="17"/>
        <v>497.391</v>
      </c>
      <c r="L31" s="6">
        <f t="shared" si="18"/>
        <v>8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hidden="1">
      <c r="A32" s="28">
        <v>8.0</v>
      </c>
      <c r="B32" s="29" t="s">
        <v>35</v>
      </c>
      <c r="C32" s="30">
        <f t="shared" si="13"/>
        <v>8</v>
      </c>
      <c r="D32" s="31">
        <f t="shared" si="14"/>
        <v>7</v>
      </c>
      <c r="E32" s="31">
        <f t="shared" si="20"/>
        <v>2</v>
      </c>
      <c r="F32" s="31">
        <f t="shared" si="21"/>
        <v>2</v>
      </c>
      <c r="G32" s="31">
        <f t="shared" si="22"/>
        <v>3</v>
      </c>
      <c r="H32" s="31">
        <f>SUMIF(L:L,B32,M:M)+SUMIF(O:O,B32,N:N)+4</f>
        <v>6</v>
      </c>
      <c r="I32" s="31">
        <f>SUMIF(L:L,B32,N:N)+SUMIF(O:O,B32,M:M)+6</f>
        <v>6</v>
      </c>
      <c r="J32" s="31">
        <f t="shared" si="16"/>
        <v>0</v>
      </c>
      <c r="K32" s="6">
        <f t="shared" si="17"/>
        <v>800.692</v>
      </c>
      <c r="L32" s="6">
        <f t="shared" si="18"/>
        <v>6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hidden="1">
      <c r="A33" s="28">
        <v>9.0</v>
      </c>
      <c r="B33" s="29" t="s">
        <v>32</v>
      </c>
      <c r="C33" s="30">
        <f t="shared" si="13"/>
        <v>4</v>
      </c>
      <c r="D33" s="31">
        <f t="shared" si="14"/>
        <v>7</v>
      </c>
      <c r="E33" s="31">
        <f>COUNTIFS(L:L,B33,R:R,3)+COUNTIFS(O:O,B33,S:S,3)</f>
        <v>0</v>
      </c>
      <c r="F33" s="31">
        <f>COUNTIFS(L:L,B33,R:R,1)+COUNTIFS(O:O,B33,S:S,1)+3</f>
        <v>4</v>
      </c>
      <c r="G33" s="31">
        <f t="shared" si="22"/>
        <v>3</v>
      </c>
      <c r="H33" s="31">
        <f>SUMIF(L:L,B33,M:M)+SUMIF(O:O,B33,N:N)+2</f>
        <v>3</v>
      </c>
      <c r="I33" s="31">
        <f>SUMIF(L:L,B33,N:N)+SUMIF(O:O,B33,M:M)+5</f>
        <v>6</v>
      </c>
      <c r="J33" s="31">
        <f t="shared" si="16"/>
        <v>-3</v>
      </c>
      <c r="K33" s="6">
        <f t="shared" si="17"/>
        <v>397.393</v>
      </c>
      <c r="L33" s="6">
        <f t="shared" si="18"/>
        <v>9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hidden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</sheetData>
  <mergeCells count="4">
    <mergeCell ref="A1:J1"/>
    <mergeCell ref="L1:O1"/>
    <mergeCell ref="L7:O7"/>
    <mergeCell ref="A23:J23"/>
  </mergeCells>
  <hyperlinks>
    <hyperlink r:id="rId1" ref="A1"/>
    <hyperlink r:id="rId2" ref="U12"/>
  </hyperlin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3.38"/>
    <col customWidth="1" min="3" max="3" width="3.38"/>
    <col customWidth="1" min="4" max="4" width="3.0"/>
    <col customWidth="1" min="5" max="5" width="3.38"/>
    <col customWidth="1" min="6" max="7" width="3.25"/>
    <col customWidth="1" min="8" max="8" width="3.38"/>
    <col customWidth="1" min="9" max="9" width="3.5"/>
    <col customWidth="1" min="10" max="10" width="3.25"/>
    <col customWidth="1" min="11" max="11" width="2.38"/>
    <col customWidth="1" min="12" max="12" width="13.38"/>
    <col customWidth="1" min="13" max="13" width="2.25"/>
    <col customWidth="1" min="14" max="14" width="2.13"/>
    <col customWidth="1" min="15" max="15" width="13.38"/>
    <col customWidth="1" hidden="1" min="16" max="16" width="0.75"/>
    <col customWidth="1" hidden="1" min="17" max="17" width="1.88"/>
    <col customWidth="1" hidden="1" min="18" max="18" width="3.0"/>
    <col customWidth="1" hidden="1" min="19" max="19" width="3.25"/>
    <col customWidth="1" min="20" max="20" width="2.0"/>
  </cols>
  <sheetData>
    <row r="1">
      <c r="A1" s="1" t="s">
        <v>38</v>
      </c>
      <c r="B1" s="2"/>
      <c r="C1" s="2"/>
      <c r="D1" s="2"/>
      <c r="E1" s="2"/>
      <c r="F1" s="2"/>
      <c r="G1" s="2"/>
      <c r="H1" s="2"/>
      <c r="I1" s="2"/>
      <c r="J1" s="3"/>
      <c r="K1" s="4"/>
      <c r="L1" s="5" t="s">
        <v>1</v>
      </c>
      <c r="M1" s="2"/>
      <c r="N1" s="2"/>
      <c r="O1" s="3"/>
      <c r="P1" s="6"/>
      <c r="Q1" s="6" t="s">
        <v>2</v>
      </c>
      <c r="R1" s="6" t="s">
        <v>3</v>
      </c>
      <c r="S1" s="6" t="s">
        <v>4</v>
      </c>
      <c r="T1" s="7"/>
      <c r="U1" s="7"/>
      <c r="V1" s="7"/>
      <c r="W1" s="7"/>
      <c r="X1" s="7"/>
      <c r="Y1" s="7"/>
      <c r="Z1" s="7"/>
      <c r="AA1" s="7"/>
    </row>
    <row r="2">
      <c r="A2" s="8" t="s">
        <v>5</v>
      </c>
      <c r="B2" s="9" t="s">
        <v>6</v>
      </c>
      <c r="C2" s="10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0" t="s">
        <v>13</v>
      </c>
      <c r="J2" s="10" t="s">
        <v>14</v>
      </c>
      <c r="K2" s="4"/>
      <c r="L2" s="15" t="s">
        <v>39</v>
      </c>
      <c r="M2" s="11">
        <v>0.0</v>
      </c>
      <c r="N2" s="11">
        <v>0.0</v>
      </c>
      <c r="O2" s="11" t="s">
        <v>40</v>
      </c>
      <c r="P2" s="6"/>
      <c r="Q2" s="12">
        <f t="shared" ref="Q2:Q13" si="2">+IF(AND(M2&lt;&gt;"",N2&lt;&gt;""),1,0)</f>
        <v>1</v>
      </c>
      <c r="R2" s="6">
        <f t="shared" ref="R2:R13" si="3">IF(OR(M2="",N2=""), "", IF(M2=N2, 1, IF(M2&gt;N2, 3, 0)))</f>
        <v>1</v>
      </c>
      <c r="S2" s="6">
        <f t="shared" ref="S2:S13" si="4">IF(OR(M2="",N2=""), "", IF(M2=N2, 1, IF(M2&lt;N2, 3, 0)))</f>
        <v>1</v>
      </c>
      <c r="T2" s="7"/>
      <c r="U2" s="7"/>
      <c r="V2" s="7"/>
      <c r="W2" s="7"/>
      <c r="X2" s="7"/>
      <c r="Y2" s="7"/>
      <c r="Z2" s="7"/>
      <c r="AA2" s="7"/>
    </row>
    <row r="3">
      <c r="A3" s="13">
        <v>1.0</v>
      </c>
      <c r="B3" s="14" t="str">
        <f t="shared" ref="B3:J3" si="1">INDEX(B$30:B$39,MATCH($A3,$L$30:$L$39,0))</f>
        <v>Dep. Rincón</v>
      </c>
      <c r="C3" s="14">
        <f t="shared" si="1"/>
        <v>19</v>
      </c>
      <c r="D3" s="14">
        <f t="shared" si="1"/>
        <v>8</v>
      </c>
      <c r="E3" s="14">
        <f t="shared" si="1"/>
        <v>6</v>
      </c>
      <c r="F3" s="14">
        <f t="shared" si="1"/>
        <v>1</v>
      </c>
      <c r="G3" s="14">
        <f t="shared" si="1"/>
        <v>1</v>
      </c>
      <c r="H3" s="14">
        <f t="shared" si="1"/>
        <v>9</v>
      </c>
      <c r="I3" s="14">
        <f t="shared" si="1"/>
        <v>1</v>
      </c>
      <c r="J3" s="14">
        <f t="shared" si="1"/>
        <v>8</v>
      </c>
      <c r="K3" s="4"/>
      <c r="L3" s="15" t="s">
        <v>41</v>
      </c>
      <c r="M3" s="11">
        <v>3.0</v>
      </c>
      <c r="N3" s="11">
        <v>0.0</v>
      </c>
      <c r="O3" s="11" t="s">
        <v>42</v>
      </c>
      <c r="P3" s="6"/>
      <c r="Q3" s="12">
        <f t="shared" si="2"/>
        <v>1</v>
      </c>
      <c r="R3" s="6">
        <f t="shared" si="3"/>
        <v>3</v>
      </c>
      <c r="S3" s="6">
        <f t="shared" si="4"/>
        <v>0</v>
      </c>
      <c r="T3" s="7"/>
      <c r="U3" s="7"/>
      <c r="V3" s="7"/>
      <c r="W3" s="7"/>
      <c r="X3" s="7"/>
      <c r="Y3" s="7"/>
      <c r="Z3" s="7"/>
      <c r="AA3" s="7"/>
    </row>
    <row r="4">
      <c r="A4" s="13">
        <v>2.0</v>
      </c>
      <c r="B4" s="14" t="str">
        <f t="shared" ref="B4:J4" si="5">INDEX(B$30:B$39,MATCH($A4,$L$30:$L$39,0))</f>
        <v>Estudiantes (SL)</v>
      </c>
      <c r="C4" s="14">
        <f t="shared" si="5"/>
        <v>15</v>
      </c>
      <c r="D4" s="14">
        <f t="shared" si="5"/>
        <v>8</v>
      </c>
      <c r="E4" s="14">
        <f t="shared" si="5"/>
        <v>4</v>
      </c>
      <c r="F4" s="14">
        <f t="shared" si="5"/>
        <v>3</v>
      </c>
      <c r="G4" s="14">
        <f t="shared" si="5"/>
        <v>1</v>
      </c>
      <c r="H4" s="14">
        <f t="shared" si="5"/>
        <v>10</v>
      </c>
      <c r="I4" s="14">
        <f t="shared" si="5"/>
        <v>8</v>
      </c>
      <c r="J4" s="14">
        <f t="shared" si="5"/>
        <v>2</v>
      </c>
      <c r="K4" s="4"/>
      <c r="L4" s="15" t="s">
        <v>43</v>
      </c>
      <c r="M4" s="11">
        <v>1.0</v>
      </c>
      <c r="N4" s="11">
        <v>1.0</v>
      </c>
      <c r="O4" s="15" t="s">
        <v>44</v>
      </c>
      <c r="P4" s="6"/>
      <c r="Q4" s="12">
        <f t="shared" si="2"/>
        <v>1</v>
      </c>
      <c r="R4" s="6">
        <f t="shared" si="3"/>
        <v>1</v>
      </c>
      <c r="S4" s="6">
        <f t="shared" si="4"/>
        <v>1</v>
      </c>
      <c r="T4" s="7"/>
      <c r="U4" s="7"/>
      <c r="V4" s="7"/>
      <c r="W4" s="7"/>
      <c r="X4" s="7"/>
      <c r="Y4" s="7"/>
      <c r="Z4" s="7"/>
      <c r="AA4" s="7"/>
    </row>
    <row r="5">
      <c r="A5" s="13">
        <v>3.0</v>
      </c>
      <c r="B5" s="14" t="str">
        <f t="shared" ref="B5:J5" si="6">INDEX(B$30:B$39,MATCH($A5,$L$30:$L$39,0))</f>
        <v>Juv. Unida (SL)</v>
      </c>
      <c r="C5" s="14">
        <f t="shared" si="6"/>
        <v>14</v>
      </c>
      <c r="D5" s="14">
        <f t="shared" si="6"/>
        <v>8</v>
      </c>
      <c r="E5" s="14">
        <f t="shared" si="6"/>
        <v>4</v>
      </c>
      <c r="F5" s="14">
        <f t="shared" si="6"/>
        <v>2</v>
      </c>
      <c r="G5" s="14">
        <f t="shared" si="6"/>
        <v>2</v>
      </c>
      <c r="H5" s="14">
        <f t="shared" si="6"/>
        <v>10</v>
      </c>
      <c r="I5" s="14">
        <f t="shared" si="6"/>
        <v>5</v>
      </c>
      <c r="J5" s="14">
        <f t="shared" si="6"/>
        <v>5</v>
      </c>
      <c r="K5" s="6"/>
      <c r="L5" s="15" t="s">
        <v>45</v>
      </c>
      <c r="M5" s="11">
        <v>1.0</v>
      </c>
      <c r="N5" s="11">
        <v>0.0</v>
      </c>
      <c r="O5" s="11" t="s">
        <v>46</v>
      </c>
      <c r="P5" s="6"/>
      <c r="Q5" s="12">
        <f t="shared" si="2"/>
        <v>1</v>
      </c>
      <c r="R5" s="6">
        <f t="shared" si="3"/>
        <v>3</v>
      </c>
      <c r="S5" s="6">
        <f t="shared" si="4"/>
        <v>0</v>
      </c>
      <c r="T5" s="7"/>
      <c r="U5" s="7"/>
      <c r="V5" s="18"/>
      <c r="W5" s="7"/>
      <c r="X5" s="7"/>
      <c r="Y5" s="7"/>
      <c r="Z5" s="7"/>
      <c r="AA5" s="7"/>
    </row>
    <row r="6">
      <c r="A6" s="13">
        <v>4.0</v>
      </c>
      <c r="B6" s="14" t="str">
        <f t="shared" ref="B6:J6" si="7">INDEX(B$30:B$39,MATCH($A6,$L$30:$L$39,0))</f>
        <v>Cipolletti</v>
      </c>
      <c r="C6" s="14">
        <f t="shared" si="7"/>
        <v>14</v>
      </c>
      <c r="D6" s="14">
        <f t="shared" si="7"/>
        <v>8</v>
      </c>
      <c r="E6" s="14">
        <f t="shared" si="7"/>
        <v>3</v>
      </c>
      <c r="F6" s="14">
        <f t="shared" si="7"/>
        <v>5</v>
      </c>
      <c r="G6" s="14">
        <f t="shared" si="7"/>
        <v>0</v>
      </c>
      <c r="H6" s="14">
        <f t="shared" si="7"/>
        <v>5</v>
      </c>
      <c r="I6" s="14">
        <f t="shared" si="7"/>
        <v>2</v>
      </c>
      <c r="J6" s="14">
        <f t="shared" si="7"/>
        <v>3</v>
      </c>
      <c r="K6" s="6"/>
      <c r="L6" s="11" t="s">
        <v>47</v>
      </c>
      <c r="M6" s="11">
        <v>1.0</v>
      </c>
      <c r="N6" s="11">
        <v>0.0</v>
      </c>
      <c r="O6" s="15" t="s">
        <v>48</v>
      </c>
      <c r="Q6" s="12">
        <f t="shared" si="2"/>
        <v>1</v>
      </c>
      <c r="R6" s="6">
        <f t="shared" si="3"/>
        <v>3</v>
      </c>
      <c r="S6" s="6">
        <f t="shared" si="4"/>
        <v>0</v>
      </c>
      <c r="T6" s="7"/>
      <c r="U6" s="7"/>
      <c r="V6" s="18"/>
      <c r="W6" s="7"/>
      <c r="X6" s="7"/>
      <c r="Y6" s="7"/>
      <c r="Z6" s="7"/>
      <c r="AA6" s="7"/>
    </row>
    <row r="7">
      <c r="A7" s="13">
        <v>5.0</v>
      </c>
      <c r="B7" s="14" t="str">
        <f t="shared" ref="B7:J7" si="8">INDEX(B$30:B$39,MATCH($A7,$L$30:$L$39,0))</f>
        <v>Huracán (LH)</v>
      </c>
      <c r="C7" s="14">
        <f t="shared" si="8"/>
        <v>14</v>
      </c>
      <c r="D7" s="14">
        <f t="shared" si="8"/>
        <v>9</v>
      </c>
      <c r="E7" s="14">
        <f t="shared" si="8"/>
        <v>4</v>
      </c>
      <c r="F7" s="14">
        <f t="shared" si="8"/>
        <v>2</v>
      </c>
      <c r="G7" s="14">
        <f t="shared" si="8"/>
        <v>3</v>
      </c>
      <c r="H7" s="14">
        <f t="shared" si="8"/>
        <v>6</v>
      </c>
      <c r="I7" s="14">
        <f t="shared" si="8"/>
        <v>8</v>
      </c>
      <c r="J7" s="14">
        <f t="shared" si="8"/>
        <v>-2</v>
      </c>
      <c r="K7" s="6"/>
      <c r="L7" s="6"/>
      <c r="M7" s="6"/>
      <c r="N7" s="6"/>
      <c r="O7" s="6"/>
      <c r="Q7" s="12">
        <f t="shared" si="2"/>
        <v>0</v>
      </c>
      <c r="R7" s="6" t="str">
        <f t="shared" si="3"/>
        <v/>
      </c>
      <c r="S7" s="6" t="str">
        <f t="shared" si="4"/>
        <v/>
      </c>
      <c r="T7" s="7"/>
      <c r="U7" s="7"/>
      <c r="W7" s="7"/>
      <c r="X7" s="7"/>
      <c r="Y7" s="7"/>
      <c r="Z7" s="7"/>
      <c r="AA7" s="7"/>
    </row>
    <row r="8">
      <c r="A8" s="13">
        <v>6.0</v>
      </c>
      <c r="B8" s="14" t="str">
        <f t="shared" ref="B8:J8" si="9">INDEX(B$30:B$39,MATCH($A8,$L$30:$L$39,0))</f>
        <v>Ferro (GP)</v>
      </c>
      <c r="C8" s="14">
        <f t="shared" si="9"/>
        <v>12</v>
      </c>
      <c r="D8" s="14">
        <f t="shared" si="9"/>
        <v>8</v>
      </c>
      <c r="E8" s="14">
        <f t="shared" si="9"/>
        <v>3</v>
      </c>
      <c r="F8" s="14">
        <f t="shared" si="9"/>
        <v>3</v>
      </c>
      <c r="G8" s="14">
        <f t="shared" si="9"/>
        <v>2</v>
      </c>
      <c r="H8" s="14">
        <f t="shared" si="9"/>
        <v>8</v>
      </c>
      <c r="I8" s="14">
        <f t="shared" si="9"/>
        <v>5</v>
      </c>
      <c r="J8" s="14">
        <f t="shared" si="9"/>
        <v>3</v>
      </c>
      <c r="K8" s="6"/>
      <c r="L8" s="5" t="s">
        <v>23</v>
      </c>
      <c r="M8" s="2"/>
      <c r="N8" s="2"/>
      <c r="O8" s="3"/>
      <c r="Q8" s="12">
        <f t="shared" si="2"/>
        <v>0</v>
      </c>
      <c r="R8" s="6" t="str">
        <f t="shared" si="3"/>
        <v/>
      </c>
      <c r="S8" s="6" t="str">
        <f t="shared" si="4"/>
        <v/>
      </c>
      <c r="T8" s="7"/>
      <c r="U8" s="7"/>
      <c r="V8" s="18"/>
      <c r="W8" s="7"/>
      <c r="X8" s="7"/>
      <c r="Y8" s="7"/>
      <c r="Z8" s="7"/>
      <c r="AA8" s="7"/>
    </row>
    <row r="9">
      <c r="A9" s="19">
        <v>7.0</v>
      </c>
      <c r="B9" s="17" t="str">
        <f t="shared" ref="B9:J9" si="10">INDEX(B$30:B$39,MATCH($A9,$L$30:$L$39,0))</f>
        <v>San Martín (M)</v>
      </c>
      <c r="C9" s="17">
        <f t="shared" si="10"/>
        <v>9</v>
      </c>
      <c r="D9" s="17">
        <f t="shared" si="10"/>
        <v>8</v>
      </c>
      <c r="E9" s="17">
        <f t="shared" si="10"/>
        <v>2</v>
      </c>
      <c r="F9" s="17">
        <f t="shared" si="10"/>
        <v>3</v>
      </c>
      <c r="G9" s="17">
        <f t="shared" si="10"/>
        <v>3</v>
      </c>
      <c r="H9" s="17">
        <f t="shared" si="10"/>
        <v>9</v>
      </c>
      <c r="I9" s="17">
        <f t="shared" si="10"/>
        <v>9</v>
      </c>
      <c r="J9" s="17">
        <f t="shared" si="10"/>
        <v>0</v>
      </c>
      <c r="K9" s="6"/>
      <c r="L9" s="11" t="s">
        <v>46</v>
      </c>
      <c r="M9" s="11"/>
      <c r="N9" s="11"/>
      <c r="O9" s="15" t="s">
        <v>43</v>
      </c>
      <c r="Q9" s="12">
        <f t="shared" si="2"/>
        <v>0</v>
      </c>
      <c r="R9" s="6" t="str">
        <f t="shared" si="3"/>
        <v/>
      </c>
      <c r="S9" s="6" t="str">
        <f t="shared" si="4"/>
        <v/>
      </c>
      <c r="V9" s="18"/>
      <c r="W9" s="7"/>
      <c r="X9" s="7"/>
      <c r="Y9" s="7"/>
      <c r="Z9" s="7"/>
      <c r="AA9" s="7"/>
    </row>
    <row r="10">
      <c r="A10" s="19">
        <v>8.0</v>
      </c>
      <c r="B10" s="17" t="str">
        <f t="shared" ref="B10:J10" si="11">INDEX(B$30:B$39,MATCH($A10,$L$30:$L$39,0))</f>
        <v>Sol de Mayo</v>
      </c>
      <c r="C10" s="17">
        <f t="shared" si="11"/>
        <v>8</v>
      </c>
      <c r="D10" s="17">
        <f t="shared" si="11"/>
        <v>8</v>
      </c>
      <c r="E10" s="17">
        <f t="shared" si="11"/>
        <v>2</v>
      </c>
      <c r="F10" s="17">
        <f t="shared" si="11"/>
        <v>2</v>
      </c>
      <c r="G10" s="17">
        <f t="shared" si="11"/>
        <v>4</v>
      </c>
      <c r="H10" s="17">
        <f t="shared" si="11"/>
        <v>8</v>
      </c>
      <c r="I10" s="17">
        <f t="shared" si="11"/>
        <v>14</v>
      </c>
      <c r="J10" s="17">
        <f t="shared" si="11"/>
        <v>-6</v>
      </c>
      <c r="K10" s="6"/>
      <c r="L10" s="15" t="s">
        <v>44</v>
      </c>
      <c r="M10" s="11"/>
      <c r="N10" s="11"/>
      <c r="O10" s="15" t="s">
        <v>41</v>
      </c>
      <c r="Q10" s="12">
        <f t="shared" si="2"/>
        <v>0</v>
      </c>
      <c r="R10" s="6" t="str">
        <f t="shared" si="3"/>
        <v/>
      </c>
      <c r="S10" s="6" t="str">
        <f t="shared" si="4"/>
        <v/>
      </c>
      <c r="T10" s="7"/>
      <c r="U10" s="7"/>
      <c r="V10" s="18"/>
      <c r="W10" s="7"/>
      <c r="X10" s="7"/>
      <c r="Y10" s="7"/>
      <c r="Z10" s="7"/>
      <c r="AA10" s="7"/>
    </row>
    <row r="11">
      <c r="A11" s="19">
        <v>9.0</v>
      </c>
      <c r="B11" s="17" t="str">
        <f t="shared" ref="B11:J11" si="12">INDEX(B$30:B$39,MATCH($A11,$L$30:$L$39,0))</f>
        <v>Círculo Dep.</v>
      </c>
      <c r="C11" s="17">
        <f t="shared" si="12"/>
        <v>7</v>
      </c>
      <c r="D11" s="17">
        <f t="shared" si="12"/>
        <v>8</v>
      </c>
      <c r="E11" s="17">
        <f t="shared" si="12"/>
        <v>2</v>
      </c>
      <c r="F11" s="17">
        <f t="shared" si="12"/>
        <v>1</v>
      </c>
      <c r="G11" s="17">
        <f t="shared" si="12"/>
        <v>5</v>
      </c>
      <c r="H11" s="17">
        <f t="shared" si="12"/>
        <v>6</v>
      </c>
      <c r="I11" s="17">
        <f t="shared" si="12"/>
        <v>10</v>
      </c>
      <c r="J11" s="17">
        <f t="shared" si="12"/>
        <v>-4</v>
      </c>
      <c r="K11" s="6"/>
      <c r="L11" s="11" t="s">
        <v>42</v>
      </c>
      <c r="M11" s="11"/>
      <c r="N11" s="11"/>
      <c r="O11" s="15" t="s">
        <v>39</v>
      </c>
      <c r="P11" s="6"/>
      <c r="Q11" s="12">
        <f t="shared" si="2"/>
        <v>0</v>
      </c>
      <c r="R11" s="6" t="str">
        <f t="shared" si="3"/>
        <v/>
      </c>
      <c r="S11" s="6" t="str">
        <f t="shared" si="4"/>
        <v/>
      </c>
      <c r="T11" s="7"/>
      <c r="U11" s="7"/>
      <c r="V11" s="18"/>
      <c r="W11" s="7"/>
      <c r="X11" s="7"/>
      <c r="Y11" s="7"/>
      <c r="Z11" s="7"/>
      <c r="AA11" s="7"/>
    </row>
    <row r="12">
      <c r="A12" s="19">
        <v>10.0</v>
      </c>
      <c r="B12" s="17" t="str">
        <f t="array" ref="B12">INDEX(B$30:B$39,MATCH($A12,$L$30:$L$39,0))</f>
        <v>Sansinena</v>
      </c>
      <c r="C12" s="17">
        <f t="shared" ref="C12:J12" si="13">INDEX(C$30:C$35,MATCH($A12,$L$30:$L$35,0))</f>
        <v>0</v>
      </c>
      <c r="D12" s="17">
        <f t="shared" si="13"/>
        <v>9</v>
      </c>
      <c r="E12" s="17">
        <f t="shared" si="13"/>
        <v>0</v>
      </c>
      <c r="F12" s="17">
        <f t="shared" si="13"/>
        <v>0</v>
      </c>
      <c r="G12" s="17">
        <f t="shared" si="13"/>
        <v>9</v>
      </c>
      <c r="H12" s="17">
        <f t="shared" si="13"/>
        <v>0</v>
      </c>
      <c r="I12" s="17">
        <f t="shared" si="13"/>
        <v>9</v>
      </c>
      <c r="J12" s="17">
        <f t="shared" si="13"/>
        <v>-9</v>
      </c>
      <c r="K12" s="6"/>
      <c r="L12" s="11" t="s">
        <v>40</v>
      </c>
      <c r="M12" s="11"/>
      <c r="N12" s="11"/>
      <c r="O12" s="11" t="s">
        <v>47</v>
      </c>
      <c r="P12" s="6"/>
      <c r="Q12" s="12">
        <f t="shared" si="2"/>
        <v>0</v>
      </c>
      <c r="R12" s="6" t="str">
        <f t="shared" si="3"/>
        <v/>
      </c>
      <c r="S12" s="6" t="str">
        <f t="shared" si="4"/>
        <v/>
      </c>
      <c r="T12" s="7"/>
      <c r="V12" s="7"/>
      <c r="W12" s="7"/>
      <c r="X12" s="7"/>
      <c r="Y12" s="7"/>
      <c r="Z12" s="7"/>
      <c r="AA12" s="7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5" t="s">
        <v>48</v>
      </c>
      <c r="M13" s="11">
        <v>0.0</v>
      </c>
      <c r="N13" s="11">
        <v>1.0</v>
      </c>
      <c r="O13" s="15" t="s">
        <v>45</v>
      </c>
      <c r="P13" s="6"/>
      <c r="Q13" s="12">
        <f t="shared" si="2"/>
        <v>1</v>
      </c>
      <c r="R13" s="6">
        <f t="shared" si="3"/>
        <v>0</v>
      </c>
      <c r="S13" s="6">
        <f t="shared" si="4"/>
        <v>3</v>
      </c>
      <c r="T13" s="7"/>
      <c r="U13" s="20" t="s">
        <v>25</v>
      </c>
      <c r="V13" s="7"/>
      <c r="W13" s="7"/>
      <c r="X13" s="7"/>
      <c r="Y13" s="7"/>
      <c r="Z13" s="7"/>
      <c r="AA13" s="7"/>
    </row>
    <row r="14">
      <c r="A14" s="33" t="s">
        <v>49</v>
      </c>
      <c r="B14" s="2"/>
      <c r="C14" s="2"/>
      <c r="D14" s="2"/>
      <c r="E14" s="2"/>
      <c r="F14" s="2"/>
      <c r="G14" s="2"/>
      <c r="H14" s="2"/>
      <c r="I14" s="2"/>
      <c r="J14" s="3"/>
      <c r="K14" s="6"/>
      <c r="P14" s="6"/>
      <c r="Q14" s="6"/>
      <c r="R14" s="6" t="str">
        <f t="shared" ref="R14:R16" si="14">IF(OR(M7="",N7=""), "", IF(M7=N7, 1, IF(M7&gt;N7, 3, 0)))</f>
        <v/>
      </c>
      <c r="S14" s="6" t="str">
        <f t="shared" ref="S14:S16" si="15">IF(OR(M7="",N7=""), "", IF(M7=N7, 1, IF(M7&lt;N7, 3, 0)))</f>
        <v/>
      </c>
      <c r="T14" s="7"/>
      <c r="U14" s="7"/>
      <c r="V14" s="7"/>
      <c r="W14" s="7"/>
      <c r="X14" s="7"/>
      <c r="Y14" s="7"/>
      <c r="Z14" s="7"/>
      <c r="AA14" s="7"/>
    </row>
    <row r="15">
      <c r="A15" s="8" t="s">
        <v>5</v>
      </c>
      <c r="B15" s="9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6"/>
      <c r="P15" s="6"/>
      <c r="Q15" s="6"/>
      <c r="R15" s="6" t="str">
        <f t="shared" si="14"/>
        <v/>
      </c>
      <c r="S15" s="6" t="str">
        <f t="shared" si="15"/>
        <v/>
      </c>
      <c r="T15" s="7"/>
      <c r="U15" s="7"/>
      <c r="V15" s="7"/>
      <c r="W15" s="7"/>
      <c r="X15" s="7"/>
      <c r="Y15" s="7"/>
      <c r="Z15" s="7"/>
      <c r="AA15" s="7"/>
    </row>
    <row r="16">
      <c r="A16" s="16">
        <v>1.0</v>
      </c>
      <c r="B16" s="17" t="str">
        <f t="shared" ref="B16:J16" si="16">INDEX(B$43:B$52,MATCH($A16,$L$43:$L$52,0))</f>
        <v>Dep. Rincón</v>
      </c>
      <c r="C16" s="17">
        <f t="shared" si="16"/>
        <v>39</v>
      </c>
      <c r="D16" s="17">
        <f t="shared" si="16"/>
        <v>26</v>
      </c>
      <c r="E16" s="17">
        <f t="shared" si="16"/>
        <v>11</v>
      </c>
      <c r="F16" s="17">
        <f t="shared" si="16"/>
        <v>6</v>
      </c>
      <c r="G16" s="17">
        <f t="shared" si="16"/>
        <v>9</v>
      </c>
      <c r="H16" s="17">
        <f t="shared" si="16"/>
        <v>23</v>
      </c>
      <c r="I16" s="17">
        <f t="shared" si="16"/>
        <v>19</v>
      </c>
      <c r="J16" s="17">
        <f t="shared" si="16"/>
        <v>4</v>
      </c>
      <c r="K16" s="6"/>
      <c r="P16" s="6"/>
      <c r="Q16" s="6"/>
      <c r="R16" s="6" t="str">
        <f t="shared" si="14"/>
        <v/>
      </c>
      <c r="S16" s="6" t="str">
        <f t="shared" si="15"/>
        <v/>
      </c>
      <c r="T16" s="7"/>
      <c r="U16" s="7"/>
      <c r="V16" s="7"/>
      <c r="W16" s="7"/>
      <c r="X16" s="7"/>
      <c r="Y16" s="7"/>
      <c r="Z16" s="7"/>
      <c r="AA16" s="7"/>
    </row>
    <row r="17">
      <c r="A17" s="16">
        <v>2.0</v>
      </c>
      <c r="B17" s="17" t="str">
        <f t="shared" ref="B17:J17" si="17">INDEX(B$43:B$52,MATCH($A17,$L$43:$L$52,0))</f>
        <v>Juv. Unida (SL)</v>
      </c>
      <c r="C17" s="17">
        <f t="shared" si="17"/>
        <v>37</v>
      </c>
      <c r="D17" s="17">
        <f t="shared" si="17"/>
        <v>26</v>
      </c>
      <c r="E17" s="17">
        <f t="shared" si="17"/>
        <v>10</v>
      </c>
      <c r="F17" s="17">
        <f t="shared" si="17"/>
        <v>7</v>
      </c>
      <c r="G17" s="17">
        <f t="shared" si="17"/>
        <v>9</v>
      </c>
      <c r="H17" s="17">
        <f t="shared" si="17"/>
        <v>23</v>
      </c>
      <c r="I17" s="17">
        <f t="shared" si="17"/>
        <v>22</v>
      </c>
      <c r="J17" s="17">
        <f t="shared" si="17"/>
        <v>1</v>
      </c>
      <c r="K17" s="6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</row>
    <row r="18">
      <c r="A18" s="16">
        <v>3.0</v>
      </c>
      <c r="B18" s="17" t="str">
        <f t="shared" ref="B18:J18" si="18">INDEX(B$43:B$52,MATCH($A18,$L$43:$L$52,0))</f>
        <v>Huracán (LH)</v>
      </c>
      <c r="C18" s="17">
        <f t="shared" si="18"/>
        <v>36</v>
      </c>
      <c r="D18" s="17">
        <f t="shared" si="18"/>
        <v>27</v>
      </c>
      <c r="E18" s="17">
        <f t="shared" si="18"/>
        <v>9</v>
      </c>
      <c r="F18" s="17">
        <f t="shared" si="18"/>
        <v>9</v>
      </c>
      <c r="G18" s="17">
        <f t="shared" si="18"/>
        <v>9</v>
      </c>
      <c r="H18" s="17">
        <f t="shared" si="18"/>
        <v>20</v>
      </c>
      <c r="I18" s="17">
        <f t="shared" si="18"/>
        <v>25</v>
      </c>
      <c r="J18" s="17">
        <f t="shared" si="18"/>
        <v>-5</v>
      </c>
      <c r="K18" s="6"/>
      <c r="P18" s="6"/>
      <c r="Q18" s="6"/>
      <c r="R18" s="6"/>
      <c r="S18" s="6"/>
      <c r="T18" s="7"/>
      <c r="U18" s="7"/>
      <c r="V18" s="7"/>
      <c r="W18" s="7"/>
      <c r="X18" s="7"/>
      <c r="Y18" s="7"/>
      <c r="Z18" s="7"/>
      <c r="AA18" s="7"/>
    </row>
    <row r="19">
      <c r="A19" s="16">
        <v>4.0</v>
      </c>
      <c r="B19" s="17" t="str">
        <f t="shared" ref="B19:J19" si="19">INDEX(B$43:B$52,MATCH($A19,$L$43:$L$52,0))</f>
        <v>San Martín (M)</v>
      </c>
      <c r="C19" s="17">
        <f t="shared" si="19"/>
        <v>31</v>
      </c>
      <c r="D19" s="17">
        <f t="shared" si="19"/>
        <v>26</v>
      </c>
      <c r="E19" s="17">
        <f t="shared" si="19"/>
        <v>8</v>
      </c>
      <c r="F19" s="17">
        <f t="shared" si="19"/>
        <v>7</v>
      </c>
      <c r="G19" s="17">
        <f t="shared" si="19"/>
        <v>11</v>
      </c>
      <c r="H19" s="17">
        <f t="shared" si="19"/>
        <v>19</v>
      </c>
      <c r="I19" s="17">
        <f t="shared" si="19"/>
        <v>21</v>
      </c>
      <c r="J19" s="17">
        <f t="shared" si="19"/>
        <v>-2</v>
      </c>
      <c r="K19" s="6"/>
      <c r="P19" s="6"/>
      <c r="Q19" s="6"/>
      <c r="R19" s="6" t="str">
        <f t="shared" ref="R19:R21" si="21">IF(OR(M10="",N10=""), "", IF(M10=N10, 1, IF(M10&gt;N10, 3, 0)))</f>
        <v/>
      </c>
      <c r="S19" s="6" t="str">
        <f t="shared" ref="S19:S21" si="22">IF(OR(M10="",N10=""), "", IF(M10=N10, 1, IF(M10&lt;N10, 3, 0)))</f>
        <v/>
      </c>
      <c r="T19" s="7"/>
      <c r="U19" s="7"/>
      <c r="V19" s="7"/>
      <c r="W19" s="7"/>
      <c r="X19" s="7"/>
      <c r="Y19" s="7"/>
      <c r="Z19" s="7"/>
      <c r="AA19" s="7"/>
    </row>
    <row r="20">
      <c r="A20" s="16">
        <v>5.0</v>
      </c>
      <c r="B20" s="17" t="str">
        <f t="shared" ref="B20:J20" si="20">INDEX(B$43:B$52,MATCH($A20,$L$43:$L$52,0))</f>
        <v>Cipolletti</v>
      </c>
      <c r="C20" s="17">
        <f t="shared" si="20"/>
        <v>31</v>
      </c>
      <c r="D20" s="17">
        <f t="shared" si="20"/>
        <v>26</v>
      </c>
      <c r="E20" s="17">
        <f t="shared" si="20"/>
        <v>6</v>
      </c>
      <c r="F20" s="17">
        <f t="shared" si="20"/>
        <v>13</v>
      </c>
      <c r="G20" s="17">
        <f t="shared" si="20"/>
        <v>7</v>
      </c>
      <c r="H20" s="17">
        <f t="shared" si="20"/>
        <v>16</v>
      </c>
      <c r="I20" s="17">
        <f t="shared" si="20"/>
        <v>19</v>
      </c>
      <c r="J20" s="17">
        <f t="shared" si="20"/>
        <v>-3</v>
      </c>
      <c r="K20" s="6"/>
      <c r="P20" s="6"/>
      <c r="Q20" s="6"/>
      <c r="R20" s="6" t="str">
        <f t="shared" si="21"/>
        <v/>
      </c>
      <c r="S20" s="6" t="str">
        <f t="shared" si="22"/>
        <v/>
      </c>
      <c r="T20" s="7"/>
      <c r="U20" s="7"/>
      <c r="V20" s="7"/>
      <c r="W20" s="7"/>
      <c r="X20" s="7"/>
      <c r="Y20" s="7"/>
      <c r="Z20" s="7"/>
      <c r="AA20" s="7"/>
    </row>
    <row r="21">
      <c r="A21" s="16">
        <v>6.0</v>
      </c>
      <c r="B21" s="17" t="str">
        <f t="shared" ref="B21:J21" si="23">INDEX(B$43:B$52,MATCH($A21,$L$43:$L$52,0))</f>
        <v>Estudiantes (SL)</v>
      </c>
      <c r="C21" s="17">
        <f t="shared" si="23"/>
        <v>29</v>
      </c>
      <c r="D21" s="17">
        <f t="shared" si="23"/>
        <v>26</v>
      </c>
      <c r="E21" s="17">
        <f t="shared" si="23"/>
        <v>7</v>
      </c>
      <c r="F21" s="17">
        <f t="shared" si="23"/>
        <v>8</v>
      </c>
      <c r="G21" s="17">
        <f t="shared" si="23"/>
        <v>11</v>
      </c>
      <c r="H21" s="17">
        <f t="shared" si="23"/>
        <v>27</v>
      </c>
      <c r="I21" s="17">
        <f t="shared" si="23"/>
        <v>35</v>
      </c>
      <c r="J21" s="17">
        <f t="shared" si="23"/>
        <v>-8</v>
      </c>
      <c r="K21" s="6"/>
      <c r="P21" s="6"/>
      <c r="Q21" s="6"/>
      <c r="R21" s="6" t="str">
        <f t="shared" si="21"/>
        <v/>
      </c>
      <c r="S21" s="6" t="str">
        <f t="shared" si="22"/>
        <v/>
      </c>
      <c r="T21" s="7"/>
      <c r="U21" s="7"/>
      <c r="V21" s="7"/>
      <c r="W21" s="7"/>
      <c r="X21" s="7"/>
      <c r="Y21" s="7"/>
      <c r="Z21" s="7"/>
      <c r="AA21" s="7"/>
    </row>
    <row r="22">
      <c r="A22" s="19">
        <v>7.0</v>
      </c>
      <c r="B22" s="17" t="str">
        <f t="shared" ref="B22:J22" si="24">INDEX(B$43:B$52,MATCH($A22,$L$43:$L$52,0))</f>
        <v>Sol de Mayo</v>
      </c>
      <c r="C22" s="17">
        <f t="shared" si="24"/>
        <v>29</v>
      </c>
      <c r="D22" s="17">
        <f t="shared" si="24"/>
        <v>26</v>
      </c>
      <c r="E22" s="17">
        <f t="shared" si="24"/>
        <v>8</v>
      </c>
      <c r="F22" s="17">
        <f t="shared" si="24"/>
        <v>5</v>
      </c>
      <c r="G22" s="17">
        <f t="shared" si="24"/>
        <v>13</v>
      </c>
      <c r="H22" s="17">
        <f t="shared" si="24"/>
        <v>25</v>
      </c>
      <c r="I22" s="17">
        <f t="shared" si="24"/>
        <v>44</v>
      </c>
      <c r="J22" s="17">
        <f t="shared" si="24"/>
        <v>-19</v>
      </c>
      <c r="K22" s="6"/>
      <c r="P22" s="6"/>
      <c r="Q22" s="6"/>
      <c r="R22" s="6"/>
      <c r="S22" s="6"/>
      <c r="T22" s="7"/>
      <c r="U22" s="7"/>
      <c r="V22" s="7"/>
      <c r="W22" s="7"/>
      <c r="X22" s="7"/>
      <c r="Y22" s="7"/>
      <c r="Z22" s="7"/>
      <c r="AA22" s="7"/>
    </row>
    <row r="23">
      <c r="A23" s="19">
        <v>8.0</v>
      </c>
      <c r="B23" s="17" t="str">
        <f t="shared" ref="B23:J23" si="25">INDEX(B$43:B$52,MATCH($A23,$L$43:$L$52,0))</f>
        <v>Círculo Dep.</v>
      </c>
      <c r="C23" s="17">
        <f t="shared" si="25"/>
        <v>28</v>
      </c>
      <c r="D23" s="17">
        <f t="shared" si="25"/>
        <v>26</v>
      </c>
      <c r="E23" s="17">
        <f t="shared" si="25"/>
        <v>8</v>
      </c>
      <c r="F23" s="17">
        <f t="shared" si="25"/>
        <v>4</v>
      </c>
      <c r="G23" s="17">
        <f t="shared" si="25"/>
        <v>14</v>
      </c>
      <c r="H23" s="17">
        <f t="shared" si="25"/>
        <v>24</v>
      </c>
      <c r="I23" s="17">
        <f t="shared" si="25"/>
        <v>38</v>
      </c>
      <c r="J23" s="17">
        <f t="shared" si="25"/>
        <v>-14</v>
      </c>
      <c r="K23" s="6"/>
      <c r="P23" s="6"/>
      <c r="Q23" s="6"/>
      <c r="R23" s="6"/>
      <c r="S23" s="6"/>
      <c r="T23" s="7"/>
      <c r="U23" s="7"/>
      <c r="V23" s="7"/>
      <c r="W23" s="7"/>
      <c r="X23" s="7"/>
      <c r="Y23" s="7"/>
      <c r="Z23" s="7"/>
      <c r="AA23" s="7"/>
    </row>
    <row r="24">
      <c r="A24" s="34">
        <v>9.0</v>
      </c>
      <c r="B24" s="34" t="str">
        <f t="shared" ref="B24:J24" si="26">INDEX(B$43:B$52,MATCH($A24,$L$43:$L$52,0))</f>
        <v>Ferro (GP)</v>
      </c>
      <c r="C24" s="35">
        <f t="shared" si="26"/>
        <v>25</v>
      </c>
      <c r="D24" s="35">
        <f t="shared" si="26"/>
        <v>26</v>
      </c>
      <c r="E24" s="35">
        <f t="shared" si="26"/>
        <v>5</v>
      </c>
      <c r="F24" s="35">
        <f t="shared" si="26"/>
        <v>10</v>
      </c>
      <c r="G24" s="35">
        <f t="shared" si="26"/>
        <v>11</v>
      </c>
      <c r="H24" s="35">
        <f t="shared" si="26"/>
        <v>15</v>
      </c>
      <c r="I24" s="35">
        <f t="shared" si="26"/>
        <v>25</v>
      </c>
      <c r="J24" s="35">
        <f t="shared" si="26"/>
        <v>-10</v>
      </c>
      <c r="K24" s="6"/>
      <c r="P24" s="6"/>
      <c r="Q24" s="6"/>
      <c r="R24" s="6"/>
      <c r="S24" s="6"/>
      <c r="T24" s="7"/>
      <c r="U24" s="7"/>
      <c r="V24" s="7"/>
      <c r="W24" s="7"/>
      <c r="X24" s="7"/>
      <c r="Y24" s="7"/>
      <c r="Z24" s="7"/>
      <c r="AA24" s="7"/>
    </row>
    <row r="25">
      <c r="A25" s="34">
        <v>10.0</v>
      </c>
      <c r="B25" s="34" t="str">
        <f t="shared" ref="B25:J25" si="27">INDEX(B$43:B$52,MATCH($A25,$L$43:$L$52,0))</f>
        <v>Sansinena</v>
      </c>
      <c r="C25" s="35">
        <f t="shared" si="27"/>
        <v>8</v>
      </c>
      <c r="D25" s="35">
        <f t="shared" si="27"/>
        <v>27</v>
      </c>
      <c r="E25" s="35">
        <f t="shared" si="27"/>
        <v>1</v>
      </c>
      <c r="F25" s="35">
        <f t="shared" si="27"/>
        <v>5</v>
      </c>
      <c r="G25" s="35">
        <f t="shared" si="27"/>
        <v>21</v>
      </c>
      <c r="H25" s="35">
        <f t="shared" si="27"/>
        <v>8</v>
      </c>
      <c r="I25" s="35">
        <f t="shared" si="27"/>
        <v>30</v>
      </c>
      <c r="J25" s="35">
        <f t="shared" si="27"/>
        <v>-22</v>
      </c>
      <c r="K25" s="6"/>
      <c r="P25" s="6"/>
      <c r="Q25" s="6"/>
      <c r="R25" s="6"/>
      <c r="S25" s="6"/>
      <c r="T25" s="7"/>
      <c r="U25" s="7"/>
      <c r="V25" s="7"/>
      <c r="W25" s="7"/>
      <c r="X25" s="7"/>
      <c r="Y25" s="7"/>
      <c r="Z25" s="7"/>
      <c r="AA25" s="7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 t="str">
        <f>IF(OR(M26="",N26=""), "", IF(M26=N26, 1, IF(M26&gt;N26, 3, 0)))</f>
        <v/>
      </c>
      <c r="S26" s="6" t="str">
        <f>IF(OR(M26="",N26=""), "", IF(M26=N26, 1, IF(M26&lt;N26, 3, 0)))</f>
        <v/>
      </c>
      <c r="T26" s="7"/>
      <c r="U26" s="7"/>
      <c r="V26" s="7"/>
      <c r="W26" s="7"/>
      <c r="X26" s="7"/>
      <c r="Y26" s="7"/>
      <c r="Z26" s="7"/>
      <c r="AA26" s="7"/>
    </row>
    <row r="27" hidden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6"/>
      <c r="L27" s="6"/>
      <c r="M27" s="6"/>
      <c r="N27" s="6"/>
      <c r="O27" s="6"/>
      <c r="P27" s="6"/>
      <c r="Q27" s="6"/>
      <c r="R27" s="6"/>
      <c r="S27" s="6"/>
      <c r="T27" s="7"/>
      <c r="U27" s="7"/>
      <c r="V27" s="7"/>
      <c r="W27" s="7"/>
      <c r="X27" s="7"/>
      <c r="Y27" s="7"/>
      <c r="Z27" s="7"/>
      <c r="AA27" s="7"/>
    </row>
    <row r="28" hidden="1">
      <c r="A28" s="22" t="s">
        <v>26</v>
      </c>
      <c r="B28" s="23"/>
      <c r="C28" s="23"/>
      <c r="D28" s="23"/>
      <c r="E28" s="23"/>
      <c r="F28" s="23"/>
      <c r="G28" s="23"/>
      <c r="H28" s="23"/>
      <c r="I28" s="23"/>
      <c r="J28" s="24"/>
      <c r="K28" s="6"/>
      <c r="L28" s="6"/>
      <c r="M28" s="6"/>
      <c r="N28" s="6"/>
      <c r="O28" s="6"/>
      <c r="P28" s="6"/>
      <c r="Q28" s="6"/>
      <c r="R28" s="6"/>
      <c r="S28" s="6"/>
      <c r="T28" s="7"/>
      <c r="U28" s="7"/>
      <c r="V28" s="7"/>
      <c r="W28" s="7"/>
      <c r="X28" s="7"/>
      <c r="Y28" s="7"/>
      <c r="Z28" s="7"/>
      <c r="AA28" s="7"/>
    </row>
    <row r="29" hidden="1">
      <c r="A29" s="8" t="s">
        <v>5</v>
      </c>
      <c r="B29" s="10" t="s">
        <v>27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0" t="s">
        <v>14</v>
      </c>
      <c r="K29" s="6"/>
      <c r="L29" s="6"/>
      <c r="M29" s="6"/>
      <c r="N29" s="6"/>
      <c r="O29" s="6"/>
      <c r="P29" s="6"/>
      <c r="Q29" s="6"/>
      <c r="R29" s="6"/>
      <c r="S29" s="6"/>
      <c r="T29" s="7"/>
      <c r="U29" s="7"/>
      <c r="V29" s="7"/>
      <c r="W29" s="7"/>
      <c r="X29" s="7"/>
      <c r="Y29" s="7"/>
      <c r="Z29" s="7"/>
      <c r="AA29" s="7"/>
    </row>
    <row r="30" hidden="1">
      <c r="A30" s="15">
        <v>1.0</v>
      </c>
      <c r="B30" s="25" t="s">
        <v>39</v>
      </c>
      <c r="C30" s="26">
        <f t="shared" ref="C30:C39" si="28">E30*3+F30</f>
        <v>14</v>
      </c>
      <c r="D30" s="27">
        <f t="shared" ref="D30:D39" si="29">E30+F30+G30</f>
        <v>8</v>
      </c>
      <c r="E30" s="27">
        <f>COUNTIFS(L:L,B30,R:R,3)+COUNTIFS(O:O,B30,S:S,3)+4</f>
        <v>4</v>
      </c>
      <c r="F30" s="27">
        <f>COUNTIFS(L:L,B30,R:R,1)+COUNTIFS(O:O,B30,S:S,1)+1</f>
        <v>2</v>
      </c>
      <c r="G30" s="27">
        <f>COUNTIFS(L:L,B30,R:R,0)+COUNTIFS(O:O,B30,S:S,0)+2</f>
        <v>2</v>
      </c>
      <c r="H30" s="27">
        <f>SUMIF(L:L,B30,M:M)+SUMIF(O:O,B30,N:N)+10</f>
        <v>10</v>
      </c>
      <c r="I30" s="27">
        <f>SUMIF(L:L,B30,N:N)+SUMIF(O:O,B30,M:M)+5</f>
        <v>5</v>
      </c>
      <c r="J30" s="27">
        <f t="shared" ref="J30:J39" si="30">H30-I30</f>
        <v>5</v>
      </c>
      <c r="K30" s="6">
        <f t="shared" ref="K30:K39" si="31">C30*100+J30+(H30/10)+(I30/100)+ROW()/1000</f>
        <v>1406.08</v>
      </c>
      <c r="L30" s="6">
        <f t="shared" ref="L30:L39" si="32">_xlfn.RANK.EQ(K30,$K$30:$K$39)</f>
        <v>3</v>
      </c>
      <c r="M30" s="6"/>
      <c r="N30" s="6"/>
      <c r="O30" s="6"/>
      <c r="P30" s="6"/>
      <c r="Q30" s="6"/>
      <c r="R30" s="6"/>
      <c r="S30" s="6"/>
      <c r="T30" s="7"/>
      <c r="U30" s="7"/>
      <c r="V30" s="7"/>
      <c r="W30" s="7"/>
      <c r="X30" s="7"/>
      <c r="Y30" s="7"/>
      <c r="Z30" s="7"/>
      <c r="AA30" s="7"/>
    </row>
    <row r="31" hidden="1">
      <c r="A31" s="32">
        <v>3.0</v>
      </c>
      <c r="B31" s="29" t="s">
        <v>43</v>
      </c>
      <c r="C31" s="30">
        <f t="shared" si="28"/>
        <v>9</v>
      </c>
      <c r="D31" s="31">
        <f t="shared" si="29"/>
        <v>8</v>
      </c>
      <c r="E31" s="31">
        <f>COUNTIFS(L:L,B31,R:R,3)+COUNTIFS(O:O,B31,S:S,3)+2</f>
        <v>2</v>
      </c>
      <c r="F31" s="31">
        <f>COUNTIFS(L:L,B31,R:R,1)+COUNTIFS(O:O,B31,S:S,1)+2</f>
        <v>3</v>
      </c>
      <c r="G31" s="31">
        <f>COUNTIFS(L:L,B31,R:R,0)+COUNTIFS(O:O,B31,S:S,0)+3</f>
        <v>3</v>
      </c>
      <c r="H31" s="31">
        <f>SUMIF(L:L,B31,M:M)+SUMIF(O:O,B31,N:N)+8</f>
        <v>9</v>
      </c>
      <c r="I31" s="31">
        <f>SUMIF(L:L,B31,N:N)+SUMIF(O:O,B31,M:M)+8</f>
        <v>9</v>
      </c>
      <c r="J31" s="31">
        <f t="shared" si="30"/>
        <v>0</v>
      </c>
      <c r="K31" s="6">
        <f t="shared" si="31"/>
        <v>901.021</v>
      </c>
      <c r="L31" s="6">
        <f t="shared" si="32"/>
        <v>7</v>
      </c>
      <c r="M31" s="6"/>
      <c r="N31" s="6"/>
      <c r="O31" s="6"/>
      <c r="P31" s="6"/>
      <c r="Q31" s="6"/>
      <c r="R31" s="6"/>
      <c r="S31" s="6"/>
      <c r="T31" s="7"/>
      <c r="U31" s="7"/>
      <c r="V31" s="7"/>
      <c r="W31" s="7"/>
      <c r="X31" s="7"/>
      <c r="Y31" s="7"/>
      <c r="Z31" s="7"/>
      <c r="AA31" s="7"/>
    </row>
    <row r="32" hidden="1">
      <c r="A32" s="32">
        <v>3.0</v>
      </c>
      <c r="B32" s="29" t="s">
        <v>48</v>
      </c>
      <c r="C32" s="30">
        <f t="shared" si="28"/>
        <v>0</v>
      </c>
      <c r="D32" s="31">
        <f t="shared" si="29"/>
        <v>9</v>
      </c>
      <c r="E32" s="31">
        <f>COUNTIFS(L:L,B32,R:R,3)+COUNTIFS(O:O,B32,S:S,3)</f>
        <v>0</v>
      </c>
      <c r="F32" s="31">
        <f>COUNTIFS(L:L,B32,R:R,1)+COUNTIFS(O:O,B32,S:S,1)</f>
        <v>0</v>
      </c>
      <c r="G32" s="31">
        <f>COUNTIFS(L:L,B32,R:R,0)+COUNTIFS(O:O,B32,S:S,0)+7</f>
        <v>9</v>
      </c>
      <c r="H32" s="31">
        <f>SUMIF(L:L,B32,M:M)+SUMIF(O:O,B32,N:N)</f>
        <v>0</v>
      </c>
      <c r="I32" s="31">
        <f>SUMIF(L:L,B32,N:N)+SUMIF(O:O,B32,M:M)+7</f>
        <v>9</v>
      </c>
      <c r="J32" s="31">
        <f t="shared" si="30"/>
        <v>-9</v>
      </c>
      <c r="K32" s="6">
        <f t="shared" si="31"/>
        <v>-8.878</v>
      </c>
      <c r="L32" s="6">
        <f t="shared" si="32"/>
        <v>10</v>
      </c>
      <c r="M32" s="6"/>
      <c r="N32" s="6"/>
      <c r="O32" s="6"/>
      <c r="P32" s="6"/>
      <c r="Q32" s="6"/>
      <c r="R32" s="6"/>
      <c r="S32" s="6"/>
      <c r="T32" s="7"/>
      <c r="U32" s="7"/>
      <c r="V32" s="7"/>
      <c r="W32" s="7"/>
      <c r="X32" s="7"/>
      <c r="Y32" s="7"/>
      <c r="Z32" s="7"/>
      <c r="AA32" s="7"/>
    </row>
    <row r="33" hidden="1">
      <c r="A33" s="32">
        <v>4.0</v>
      </c>
      <c r="B33" s="29" t="s">
        <v>45</v>
      </c>
      <c r="C33" s="30">
        <f t="shared" si="28"/>
        <v>14</v>
      </c>
      <c r="D33" s="31">
        <f t="shared" si="29"/>
        <v>9</v>
      </c>
      <c r="E33" s="31">
        <f>COUNTIFS(L:L,B33,R:R,3)+COUNTIFS(O:O,B33,S:S,3)+2</f>
        <v>4</v>
      </c>
      <c r="F33" s="31">
        <f t="shared" ref="F33:F34" si="33">COUNTIFS(L:L,B33,R:R,1)+COUNTIFS(O:O,B33,S:S,1)+2</f>
        <v>2</v>
      </c>
      <c r="G33" s="31">
        <f>COUNTIFS(L:L,B33,R:R,0)+COUNTIFS(O:O,B33,S:S,0)+3</f>
        <v>3</v>
      </c>
      <c r="H33" s="31">
        <f>SUMIF(L:L,B33,M:M)+SUMIF(O:O,B33,N:N)+4</f>
        <v>6</v>
      </c>
      <c r="I33" s="31">
        <f>SUMIF(L:L,B33,N:N)+SUMIF(O:O,B33,M:M)+8</f>
        <v>8</v>
      </c>
      <c r="J33" s="31">
        <f t="shared" si="30"/>
        <v>-2</v>
      </c>
      <c r="K33" s="6">
        <f t="shared" si="31"/>
        <v>1398.713</v>
      </c>
      <c r="L33" s="6">
        <f t="shared" si="32"/>
        <v>5</v>
      </c>
      <c r="M33" s="6"/>
      <c r="N33" s="6"/>
      <c r="O33" s="6"/>
      <c r="P33" s="6"/>
      <c r="Q33" s="6"/>
      <c r="R33" s="6"/>
      <c r="S33" s="6"/>
      <c r="T33" s="7"/>
      <c r="U33" s="7"/>
      <c r="V33" s="7"/>
      <c r="W33" s="7"/>
      <c r="X33" s="7"/>
      <c r="Y33" s="7"/>
      <c r="Z33" s="7"/>
      <c r="AA33" s="7"/>
    </row>
    <row r="34" hidden="1">
      <c r="A34" s="32">
        <v>5.0</v>
      </c>
      <c r="B34" s="29" t="s">
        <v>44</v>
      </c>
      <c r="C34" s="30">
        <f t="shared" si="28"/>
        <v>15</v>
      </c>
      <c r="D34" s="31">
        <f t="shared" si="29"/>
        <v>8</v>
      </c>
      <c r="E34" s="31">
        <f>COUNTIFS(L:L,B34,R:R,3)+COUNTIFS(O:O,B34,S:S,3)+4</f>
        <v>4</v>
      </c>
      <c r="F34" s="31">
        <f t="shared" si="33"/>
        <v>3</v>
      </c>
      <c r="G34" s="31">
        <f>COUNTIFS(L:L,B34,R:R,0)+COUNTIFS(O:O,B34,S:S,0)+1</f>
        <v>1</v>
      </c>
      <c r="H34" s="31">
        <f>SUMIF(L:L,B34,M:M)+SUMIF(O:O,B34,N:N)+9</f>
        <v>10</v>
      </c>
      <c r="I34" s="31">
        <f t="shared" ref="I34:I35" si="34">SUMIF(L:L,B34,N:N)+SUMIF(O:O,B34,M:M)+7</f>
        <v>8</v>
      </c>
      <c r="J34" s="31">
        <f t="shared" si="30"/>
        <v>2</v>
      </c>
      <c r="K34" s="6">
        <f t="shared" si="31"/>
        <v>1503.114</v>
      </c>
      <c r="L34" s="6">
        <f t="shared" si="32"/>
        <v>2</v>
      </c>
      <c r="M34" s="6"/>
      <c r="N34" s="6"/>
      <c r="O34" s="6"/>
      <c r="P34" s="6"/>
      <c r="Q34" s="6"/>
      <c r="R34" s="6"/>
      <c r="S34" s="6"/>
      <c r="T34" s="7"/>
      <c r="U34" s="7"/>
      <c r="V34" s="7"/>
      <c r="W34" s="7"/>
      <c r="X34" s="7"/>
      <c r="Y34" s="7"/>
      <c r="Z34" s="7"/>
      <c r="AA34" s="7"/>
    </row>
    <row r="35" hidden="1">
      <c r="A35" s="32">
        <v>6.0</v>
      </c>
      <c r="B35" s="29" t="s">
        <v>42</v>
      </c>
      <c r="C35" s="30">
        <f t="shared" si="28"/>
        <v>7</v>
      </c>
      <c r="D35" s="31">
        <f t="shared" si="29"/>
        <v>8</v>
      </c>
      <c r="E35" s="31">
        <f>COUNTIFS(L:L,B35,R:R,3)+COUNTIFS(O:O,B35,S:S,3)+2</f>
        <v>2</v>
      </c>
      <c r="F35" s="31">
        <f>COUNTIFS(L:L,B35,R:R,1)+COUNTIFS(O:O,B35,S:S,1)+1</f>
        <v>1</v>
      </c>
      <c r="G35" s="31">
        <f t="shared" ref="G35:G36" si="35">COUNTIFS(L:L,B35,R:R,0)+COUNTIFS(O:O,B35,S:S,0)+4</f>
        <v>5</v>
      </c>
      <c r="H35" s="31">
        <f>SUMIF(L:L,B35,M:M)+SUMIF(O:O,B35,N:N)+6</f>
        <v>6</v>
      </c>
      <c r="I35" s="31">
        <f t="shared" si="34"/>
        <v>10</v>
      </c>
      <c r="J35" s="31">
        <f t="shared" si="30"/>
        <v>-4</v>
      </c>
      <c r="K35" s="6">
        <f t="shared" si="31"/>
        <v>696.735</v>
      </c>
      <c r="L35" s="6">
        <f t="shared" si="32"/>
        <v>9</v>
      </c>
      <c r="M35" s="6"/>
      <c r="N35" s="6"/>
      <c r="O35" s="6"/>
      <c r="P35" s="6"/>
      <c r="Q35" s="6"/>
      <c r="R35" s="6"/>
      <c r="S35" s="6"/>
      <c r="T35" s="7"/>
      <c r="U35" s="7"/>
      <c r="V35" s="7"/>
      <c r="W35" s="7"/>
      <c r="X35" s="7"/>
      <c r="Y35" s="7"/>
      <c r="Z35" s="7"/>
      <c r="AA35" s="7"/>
    </row>
    <row r="36" hidden="1">
      <c r="A36" s="28">
        <v>7.0</v>
      </c>
      <c r="B36" s="29" t="s">
        <v>47</v>
      </c>
      <c r="C36" s="30">
        <f t="shared" si="28"/>
        <v>8</v>
      </c>
      <c r="D36" s="31">
        <f t="shared" si="29"/>
        <v>8</v>
      </c>
      <c r="E36" s="31">
        <f>COUNTIFS(L:L,B36,R:R,3)+COUNTIFS(O:O,B36,S:S,3)+1</f>
        <v>2</v>
      </c>
      <c r="F36" s="31">
        <f>COUNTIFS(L:L,B36,R:R,1)+COUNTIFS(O:O,B36,S:S,1)+2</f>
        <v>2</v>
      </c>
      <c r="G36" s="31">
        <f t="shared" si="35"/>
        <v>4</v>
      </c>
      <c r="H36" s="31">
        <f>SUMIF(L:L,B36,M:M)+SUMIF(O:O,B36,N:N)+7</f>
        <v>8</v>
      </c>
      <c r="I36" s="31">
        <f>SUMIF(L:L,B36,N:N)+SUMIF(O:O,B36,M:M)+14</f>
        <v>14</v>
      </c>
      <c r="J36" s="31">
        <f t="shared" si="30"/>
        <v>-6</v>
      </c>
      <c r="K36" s="6">
        <f t="shared" si="31"/>
        <v>794.976</v>
      </c>
      <c r="L36" s="6">
        <f t="shared" si="32"/>
        <v>8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hidden="1">
      <c r="A37" s="28">
        <v>8.0</v>
      </c>
      <c r="B37" s="29" t="s">
        <v>41</v>
      </c>
      <c r="C37" s="30">
        <f t="shared" si="28"/>
        <v>12</v>
      </c>
      <c r="D37" s="31">
        <f t="shared" si="29"/>
        <v>8</v>
      </c>
      <c r="E37" s="31">
        <f>COUNTIFS(L:L,B37,R:R,3)+COUNTIFS(O:O,B37,S:S,3)+2</f>
        <v>3</v>
      </c>
      <c r="F37" s="31">
        <f>COUNTIFS(L:L,B37,R:R,1)+COUNTIFS(O:O,B37,S:S,1)+3</f>
        <v>3</v>
      </c>
      <c r="G37" s="31">
        <f>COUNTIFS(L:L,B37,R:R,0)+COUNTIFS(O:O,B37,S:S,0)+2</f>
        <v>2</v>
      </c>
      <c r="H37" s="31">
        <f t="shared" ref="H37:H38" si="36">SUMIF(L:L,B37,M:M)+SUMIF(O:O,B37,N:N)+5</f>
        <v>8</v>
      </c>
      <c r="I37" s="31">
        <f>SUMIF(L:L,B37,N:N)+SUMIF(O:O,B37,M:M)+5</f>
        <v>5</v>
      </c>
      <c r="J37" s="31">
        <f t="shared" si="30"/>
        <v>3</v>
      </c>
      <c r="K37" s="6">
        <f t="shared" si="31"/>
        <v>1203.887</v>
      </c>
      <c r="L37" s="6">
        <f t="shared" si="32"/>
        <v>6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hidden="1">
      <c r="A38" s="28">
        <v>9.0</v>
      </c>
      <c r="B38" s="29" t="s">
        <v>40</v>
      </c>
      <c r="C38" s="30">
        <f t="shared" si="28"/>
        <v>14</v>
      </c>
      <c r="D38" s="31">
        <f t="shared" si="29"/>
        <v>8</v>
      </c>
      <c r="E38" s="31">
        <f>COUNTIFS(L:L,B38,R:R,3)+COUNTIFS(O:O,B38,S:S,3)+3</f>
        <v>3</v>
      </c>
      <c r="F38" s="31">
        <f>COUNTIFS(L:L,B38,R:R,1)+COUNTIFS(O:O,B38,S:S,1)+4</f>
        <v>5</v>
      </c>
      <c r="G38" s="31">
        <f>COUNTIFS(L:L,B38,R:R,0)+COUNTIFS(O:O,B38,S:S,0)+0</f>
        <v>0</v>
      </c>
      <c r="H38" s="31">
        <f t="shared" si="36"/>
        <v>5</v>
      </c>
      <c r="I38" s="31">
        <f>SUMIF(L:L,B38,N:N)+SUMIF(O:O,B38,M:M)+2</f>
        <v>2</v>
      </c>
      <c r="J38" s="31">
        <f t="shared" si="30"/>
        <v>3</v>
      </c>
      <c r="K38" s="6">
        <f t="shared" si="31"/>
        <v>1403.558</v>
      </c>
      <c r="L38" s="6">
        <f t="shared" si="32"/>
        <v>4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hidden="1">
      <c r="A39" s="28">
        <v>10.0</v>
      </c>
      <c r="B39" s="29" t="s">
        <v>46</v>
      </c>
      <c r="C39" s="30">
        <f t="shared" si="28"/>
        <v>19</v>
      </c>
      <c r="D39" s="31">
        <f t="shared" si="29"/>
        <v>8</v>
      </c>
      <c r="E39" s="31">
        <f>COUNTIFS(L:L,B39,R:R,3)+COUNTIFS(O:O,B39,S:S,3)+6</f>
        <v>6</v>
      </c>
      <c r="F39" s="31">
        <f>COUNTIFS(L:L,B39,R:R,1)+COUNTIFS(O:O,B39,S:S,1)+1</f>
        <v>1</v>
      </c>
      <c r="G39" s="31">
        <f>COUNTIFS(L:L,B39,R:R,0)+COUNTIFS(O:O,B39,S:S,0)</f>
        <v>1</v>
      </c>
      <c r="H39" s="31">
        <f>SUMIF(L:L,B39,M:M)+SUMIF(O:O,B39,N:N)+9</f>
        <v>9</v>
      </c>
      <c r="I39" s="31">
        <f>SUMIF(L:L,B39,N:N)+SUMIF(O:O,B39,M:M)</f>
        <v>1</v>
      </c>
      <c r="J39" s="31">
        <f t="shared" si="30"/>
        <v>8</v>
      </c>
      <c r="K39" s="6">
        <f t="shared" si="31"/>
        <v>1908.949</v>
      </c>
      <c r="L39" s="6">
        <f t="shared" si="32"/>
        <v>1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hidden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hidden="1">
      <c r="A41" s="36" t="s">
        <v>26</v>
      </c>
      <c r="B41" s="2"/>
      <c r="C41" s="2"/>
      <c r="D41" s="2"/>
      <c r="E41" s="2"/>
      <c r="F41" s="2"/>
      <c r="G41" s="2"/>
      <c r="H41" s="2"/>
      <c r="I41" s="2"/>
      <c r="J41" s="3"/>
      <c r="K41" s="6"/>
      <c r="L41" s="6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hidden="1">
      <c r="A42" s="8" t="s">
        <v>5</v>
      </c>
      <c r="B42" s="10" t="s">
        <v>27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0" t="s">
        <v>14</v>
      </c>
      <c r="K42" s="6"/>
      <c r="L42" s="6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hidden="1">
      <c r="A43" s="15">
        <v>1.0</v>
      </c>
      <c r="B43" s="25" t="s">
        <v>39</v>
      </c>
      <c r="C43" s="26">
        <f t="shared" ref="C43:C52" si="37">E43*3+F43</f>
        <v>37</v>
      </c>
      <c r="D43" s="27">
        <f t="shared" ref="D43:D52" si="38">E43+F43+G43</f>
        <v>26</v>
      </c>
      <c r="E43" s="27">
        <f>COUNTIFS(L:L,B43,R:R,3)+COUNTIFS(O:O,B43,S:S,3)+10</f>
        <v>10</v>
      </c>
      <c r="F43" s="27">
        <f t="shared" ref="F43:F44" si="39">COUNTIFS(L:L,B43,R:R,1)+COUNTIFS(O:O,B43,S:S,1)+6</f>
        <v>7</v>
      </c>
      <c r="G43" s="27">
        <f>COUNTIFS(L:L,B43,R:R,0)+COUNTIFS(O:O,B43,S:S,0)+9</f>
        <v>9</v>
      </c>
      <c r="H43" s="27">
        <f>SUMIF(L:L,B43,M:M)+SUMIF(O:O,B43,N:N)+23</f>
        <v>23</v>
      </c>
      <c r="I43" s="27">
        <f>SUMIF(L:L,B43,N:N)+SUMIF(O:O,B43,M:M)+22</f>
        <v>22</v>
      </c>
      <c r="J43" s="27">
        <f t="shared" ref="J43:J52" si="40">H43-I43</f>
        <v>1</v>
      </c>
      <c r="K43" s="6">
        <f t="shared" ref="K43:K52" si="41">C43*100+J43+(H43/10)+(I43/100)+ROW()/1000</f>
        <v>3703.563</v>
      </c>
      <c r="L43" s="6">
        <f t="shared" ref="L43:L52" si="42">_xlfn.RANK.EQ(K43,$K$43:$K$52)</f>
        <v>2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hidden="1">
      <c r="A44" s="32">
        <v>3.0</v>
      </c>
      <c r="B44" s="29" t="s">
        <v>43</v>
      </c>
      <c r="C44" s="30">
        <f t="shared" si="37"/>
        <v>31</v>
      </c>
      <c r="D44" s="31">
        <f t="shared" si="38"/>
        <v>26</v>
      </c>
      <c r="E44" s="31">
        <f>COUNTIFS(L:L,B44,R:R,3)+COUNTIFS(O:O,B44,S:S,3)+8</f>
        <v>8</v>
      </c>
      <c r="F44" s="31">
        <f t="shared" si="39"/>
        <v>7</v>
      </c>
      <c r="G44" s="31">
        <f>COUNTIFS(L:L,B44,R:R,0)+COUNTIFS(O:O,B44,S:S,0)+11</f>
        <v>11</v>
      </c>
      <c r="H44" s="31">
        <f>SUMIF(L:L,B44,M:M)+SUMIF(O:O,B44,N:N)+18</f>
        <v>19</v>
      </c>
      <c r="I44" s="31">
        <f>SUMIF(L:L,B44,N:N)+SUMIF(O:O,B44,M:M)+20</f>
        <v>21</v>
      </c>
      <c r="J44" s="31">
        <f t="shared" si="40"/>
        <v>-2</v>
      </c>
      <c r="K44" s="6">
        <f t="shared" si="41"/>
        <v>3100.154</v>
      </c>
      <c r="L44" s="6">
        <f t="shared" si="42"/>
        <v>4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hidden="1">
      <c r="A45" s="32">
        <v>3.0</v>
      </c>
      <c r="B45" s="29" t="s">
        <v>48</v>
      </c>
      <c r="C45" s="30">
        <f t="shared" si="37"/>
        <v>8</v>
      </c>
      <c r="D45" s="31">
        <f t="shared" si="38"/>
        <v>27</v>
      </c>
      <c r="E45" s="31">
        <f>COUNTIFS(L:L,B45,R:R,3)+COUNTIFS(O:O,B45,S:S,3)+1</f>
        <v>1</v>
      </c>
      <c r="F45" s="31">
        <f>COUNTIFS(L:L,B45,R:R,1)+COUNTIFS(O:O,B45,S:S,1)+5</f>
        <v>5</v>
      </c>
      <c r="G45" s="31">
        <f>COUNTIFS(L:L,B45,R:R,0)+COUNTIFS(O:O,B45,S:S,0)+19</f>
        <v>21</v>
      </c>
      <c r="H45" s="31">
        <f>SUMIF(L:L,B45,M:M)+SUMIF(O:O,B45,N:N)+8</f>
        <v>8</v>
      </c>
      <c r="I45" s="31">
        <f>SUMIF(L:L,B45,N:N)+SUMIF(O:O,B45,M:M)+28</f>
        <v>30</v>
      </c>
      <c r="J45" s="31">
        <f t="shared" si="40"/>
        <v>-22</v>
      </c>
      <c r="K45" s="6">
        <f t="shared" si="41"/>
        <v>779.145</v>
      </c>
      <c r="L45" s="6">
        <f t="shared" si="42"/>
        <v>10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hidden="1">
      <c r="A46" s="32">
        <v>4.0</v>
      </c>
      <c r="B46" s="29" t="s">
        <v>45</v>
      </c>
      <c r="C46" s="30">
        <f t="shared" si="37"/>
        <v>36</v>
      </c>
      <c r="D46" s="31">
        <f t="shared" si="38"/>
        <v>27</v>
      </c>
      <c r="E46" s="31">
        <f t="shared" ref="E46:E47" si="43">COUNTIFS(L:L,B46,R:R,3)+COUNTIFS(O:O,B46,S:S,3)+7</f>
        <v>9</v>
      </c>
      <c r="F46" s="31">
        <f>COUNTIFS(L:L,B46,R:R,1)+COUNTIFS(O:O,B46,S:S,1)+9</f>
        <v>9</v>
      </c>
      <c r="G46" s="31">
        <f>COUNTIFS(L:L,B46,R:R,0)+COUNTIFS(O:O,B46,S:S,0)+9</f>
        <v>9</v>
      </c>
      <c r="H46" s="31">
        <f>SUMIF(L:L,B46,M:M)+SUMIF(O:O,B46,N:N)+18</f>
        <v>20</v>
      </c>
      <c r="I46" s="31">
        <f>SUMIF(L:L,B46,N:N)+SUMIF(O:O,B46,M:M)+25</f>
        <v>25</v>
      </c>
      <c r="J46" s="31">
        <f t="shared" si="40"/>
        <v>-5</v>
      </c>
      <c r="K46" s="6">
        <f t="shared" si="41"/>
        <v>3597.296</v>
      </c>
      <c r="L46" s="6">
        <f t="shared" si="42"/>
        <v>3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hidden="1">
      <c r="A47" s="32">
        <v>5.0</v>
      </c>
      <c r="B47" s="29" t="s">
        <v>44</v>
      </c>
      <c r="C47" s="30">
        <f t="shared" si="37"/>
        <v>29</v>
      </c>
      <c r="D47" s="31">
        <f t="shared" si="38"/>
        <v>26</v>
      </c>
      <c r="E47" s="31">
        <f t="shared" si="43"/>
        <v>7</v>
      </c>
      <c r="F47" s="31">
        <f>COUNTIFS(L:L,B47,R:R,1)+COUNTIFS(O:O,B47,S:S,1)+7</f>
        <v>8</v>
      </c>
      <c r="G47" s="31">
        <f>COUNTIFS(L:L,B47,R:R,0)+COUNTIFS(O:O,B47,S:S,0)+11</f>
        <v>11</v>
      </c>
      <c r="H47" s="31">
        <f>SUMIF(L:L,B47,M:M)+SUMIF(O:O,B47,N:N)+26</f>
        <v>27</v>
      </c>
      <c r="I47" s="31">
        <f>SUMIF(L:L,B47,N:N)+SUMIF(O:O,B47,M:M)+34</f>
        <v>35</v>
      </c>
      <c r="J47" s="31">
        <f t="shared" si="40"/>
        <v>-8</v>
      </c>
      <c r="K47" s="6">
        <f t="shared" si="41"/>
        <v>2895.097</v>
      </c>
      <c r="L47" s="6">
        <f t="shared" si="42"/>
        <v>6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hidden="1">
      <c r="A48" s="32">
        <v>6.0</v>
      </c>
      <c r="B48" s="29" t="s">
        <v>42</v>
      </c>
      <c r="C48" s="30">
        <f t="shared" si="37"/>
        <v>28</v>
      </c>
      <c r="D48" s="31">
        <f t="shared" si="38"/>
        <v>26</v>
      </c>
      <c r="E48" s="31">
        <f>COUNTIFS(L:L,B48,R:R,3)+COUNTIFS(O:O,B48,S:S,3)+8</f>
        <v>8</v>
      </c>
      <c r="F48" s="31">
        <f>COUNTIFS(L:L,B48,R:R,1)+COUNTIFS(O:O,B48,S:S,1)+4</f>
        <v>4</v>
      </c>
      <c r="G48" s="31">
        <f t="shared" ref="G48:G49" si="44">COUNTIFS(L:L,B48,R:R,0)+COUNTIFS(O:O,B48,S:S,0)+13</f>
        <v>14</v>
      </c>
      <c r="H48" s="31">
        <f t="shared" ref="H48:H49" si="45">SUMIF(L:L,B48,M:M)+SUMIF(O:O,B48,N:N)+24</f>
        <v>24</v>
      </c>
      <c r="I48" s="31">
        <f>SUMIF(L:L,B48,N:N)+SUMIF(O:O,B48,M:M)+35</f>
        <v>38</v>
      </c>
      <c r="J48" s="31">
        <f t="shared" si="40"/>
        <v>-14</v>
      </c>
      <c r="K48" s="6">
        <f t="shared" si="41"/>
        <v>2788.828</v>
      </c>
      <c r="L48" s="6">
        <f t="shared" si="42"/>
        <v>8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hidden="1">
      <c r="A49" s="28">
        <v>7.0</v>
      </c>
      <c r="B49" s="29" t="s">
        <v>47</v>
      </c>
      <c r="C49" s="30">
        <f t="shared" si="37"/>
        <v>29</v>
      </c>
      <c r="D49" s="31">
        <f t="shared" si="38"/>
        <v>26</v>
      </c>
      <c r="E49" s="31">
        <f>COUNTIFS(L:L,B49,R:R,3)+COUNTIFS(O:O,B49,S:S,3)+7</f>
        <v>8</v>
      </c>
      <c r="F49" s="31">
        <f>COUNTIFS(L:L,B49,R:R,1)+COUNTIFS(O:O,B49,S:S,1)+5</f>
        <v>5</v>
      </c>
      <c r="G49" s="31">
        <f t="shared" si="44"/>
        <v>13</v>
      </c>
      <c r="H49" s="31">
        <f t="shared" si="45"/>
        <v>25</v>
      </c>
      <c r="I49" s="31">
        <f>SUMIF(L:L,B49,N:N)+SUMIF(O:O,B49,M:M)+44</f>
        <v>44</v>
      </c>
      <c r="J49" s="31">
        <f t="shared" si="40"/>
        <v>-19</v>
      </c>
      <c r="K49" s="6">
        <f t="shared" si="41"/>
        <v>2883.989</v>
      </c>
      <c r="L49" s="6">
        <f t="shared" si="42"/>
        <v>7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hidden="1">
      <c r="A50" s="28">
        <v>8.0</v>
      </c>
      <c r="B50" s="29" t="s">
        <v>41</v>
      </c>
      <c r="C50" s="30">
        <f t="shared" si="37"/>
        <v>25</v>
      </c>
      <c r="D50" s="31">
        <f t="shared" si="38"/>
        <v>26</v>
      </c>
      <c r="E50" s="31">
        <f>COUNTIFS(L:L,B50,R:R,3)+COUNTIFS(O:O,B50,S:S,3)+4</f>
        <v>5</v>
      </c>
      <c r="F50" s="31">
        <f>COUNTIFS(L:L,B50,R:R,1)+COUNTIFS(O:O,B50,S:S,1)+10</f>
        <v>10</v>
      </c>
      <c r="G50" s="31">
        <f>COUNTIFS(L:L,B50,R:R,0)+COUNTIFS(O:O,B50,S:S,0)+11</f>
        <v>11</v>
      </c>
      <c r="H50" s="31">
        <f>SUMIF(L:L,B50,M:M)+SUMIF(O:O,B50,N:N)+12</f>
        <v>15</v>
      </c>
      <c r="I50" s="31">
        <f>SUMIF(L:L,B50,N:N)+SUMIF(O:O,B50,M:M)+25</f>
        <v>25</v>
      </c>
      <c r="J50" s="31">
        <f t="shared" si="40"/>
        <v>-10</v>
      </c>
      <c r="K50" s="6">
        <f t="shared" si="41"/>
        <v>2491.8</v>
      </c>
      <c r="L50" s="6">
        <f t="shared" si="42"/>
        <v>9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hidden="1">
      <c r="A51" s="28">
        <v>9.0</v>
      </c>
      <c r="B51" s="29" t="s">
        <v>40</v>
      </c>
      <c r="C51" s="30">
        <f t="shared" si="37"/>
        <v>31</v>
      </c>
      <c r="D51" s="31">
        <f t="shared" si="38"/>
        <v>26</v>
      </c>
      <c r="E51" s="31">
        <f>COUNTIFS(L:L,B51,R:R,3)+COUNTIFS(O:O,B51,S:S,3)+6</f>
        <v>6</v>
      </c>
      <c r="F51" s="31">
        <f>COUNTIFS(L:L,B51,R:R,1)+COUNTIFS(O:O,B51,S:S,1)+12</f>
        <v>13</v>
      </c>
      <c r="G51" s="31">
        <f>COUNTIFS(L:L,B51,R:R,0)+COUNTIFS(O:O,B51,S:S,0)+7</f>
        <v>7</v>
      </c>
      <c r="H51" s="31">
        <f>SUMIF(L:L,B51,M:M)+SUMIF(O:O,B51,N:N)+16</f>
        <v>16</v>
      </c>
      <c r="I51" s="31">
        <f>SUMIF(L:L,B51,N:N)+SUMIF(O:O,B51,M:M)+19</f>
        <v>19</v>
      </c>
      <c r="J51" s="31">
        <f t="shared" si="40"/>
        <v>-3</v>
      </c>
      <c r="K51" s="6">
        <f t="shared" si="41"/>
        <v>3098.841</v>
      </c>
      <c r="L51" s="6">
        <f t="shared" si="42"/>
        <v>5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hidden="1">
      <c r="A52" s="28">
        <v>10.0</v>
      </c>
      <c r="B52" s="29" t="s">
        <v>46</v>
      </c>
      <c r="C52" s="30">
        <f t="shared" si="37"/>
        <v>39</v>
      </c>
      <c r="D52" s="31">
        <f t="shared" si="38"/>
        <v>26</v>
      </c>
      <c r="E52" s="31">
        <f>COUNTIFS(L:L,B52,R:R,3)+COUNTIFS(O:O,B52,S:S,3)+11</f>
        <v>11</v>
      </c>
      <c r="F52" s="31">
        <f>COUNTIFS(L:L,B52,R:R,1)+COUNTIFS(O:O,B52,S:S,1)+6</f>
        <v>6</v>
      </c>
      <c r="G52" s="31">
        <f>COUNTIFS(L:L,B52,R:R,0)+COUNTIFS(O:O,B52,S:S,0)+8</f>
        <v>9</v>
      </c>
      <c r="H52" s="31">
        <f>SUMIF(L:L,B52,M:M)+SUMIF(O:O,B52,N:N)+23</f>
        <v>23</v>
      </c>
      <c r="I52" s="31">
        <f>SUMIF(L:L,B52,N:N)+SUMIF(O:O,B52,M:M)+18</f>
        <v>19</v>
      </c>
      <c r="J52" s="31">
        <f t="shared" si="40"/>
        <v>4</v>
      </c>
      <c r="K52" s="6">
        <f t="shared" si="41"/>
        <v>3906.542</v>
      </c>
      <c r="L52" s="6">
        <f t="shared" si="42"/>
        <v>1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hidden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</sheetData>
  <mergeCells count="6">
    <mergeCell ref="A1:J1"/>
    <mergeCell ref="L1:O1"/>
    <mergeCell ref="L8:O8"/>
    <mergeCell ref="A14:J14"/>
    <mergeCell ref="A28:J28"/>
    <mergeCell ref="A41:J41"/>
  </mergeCells>
  <hyperlinks>
    <hyperlink r:id="rId1" ref="A1"/>
    <hyperlink r:id="rId2" ref="U13"/>
  </hyperlin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5.25"/>
    <col customWidth="1" min="3" max="3" width="3.38"/>
    <col customWidth="1" min="4" max="4" width="3.0"/>
    <col customWidth="1" min="5" max="5" width="3.38"/>
    <col customWidth="1" min="6" max="7" width="3.25"/>
    <col customWidth="1" min="8" max="8" width="3.38"/>
    <col customWidth="1" min="9" max="9" width="3.5"/>
    <col customWidth="1" min="10" max="10" width="3.25"/>
    <col customWidth="1" min="11" max="11" width="2.38"/>
    <col customWidth="1" min="12" max="12" width="15.25"/>
    <col customWidth="1" min="13" max="13" width="2.25"/>
    <col customWidth="1" min="14" max="14" width="2.13"/>
    <col customWidth="1" min="15" max="15" width="15.25"/>
    <col customWidth="1" hidden="1" min="16" max="16" width="0.75"/>
    <col customWidth="1" hidden="1" min="17" max="17" width="1.88"/>
    <col customWidth="1" hidden="1" min="18" max="18" width="3.0"/>
    <col customWidth="1" hidden="1" min="19" max="19" width="3.25"/>
    <col customWidth="1" min="20" max="20" width="2.13"/>
  </cols>
  <sheetData>
    <row r="1">
      <c r="A1" s="1" t="s">
        <v>50</v>
      </c>
      <c r="B1" s="2"/>
      <c r="C1" s="2"/>
      <c r="D1" s="2"/>
      <c r="E1" s="2"/>
      <c r="F1" s="2"/>
      <c r="G1" s="2"/>
      <c r="H1" s="2"/>
      <c r="I1" s="2"/>
      <c r="J1" s="3"/>
      <c r="K1" s="4"/>
      <c r="L1" s="5" t="s">
        <v>1</v>
      </c>
      <c r="M1" s="2"/>
      <c r="N1" s="2"/>
      <c r="O1" s="3"/>
      <c r="P1" s="6"/>
      <c r="Q1" s="6" t="s">
        <v>2</v>
      </c>
      <c r="R1" s="6" t="s">
        <v>3</v>
      </c>
      <c r="S1" s="6" t="s">
        <v>4</v>
      </c>
      <c r="T1" s="7"/>
      <c r="U1" s="7"/>
      <c r="V1" s="7"/>
      <c r="W1" s="7"/>
      <c r="X1" s="7"/>
      <c r="Y1" s="7"/>
      <c r="Z1" s="7"/>
      <c r="AA1" s="7"/>
    </row>
    <row r="2">
      <c r="A2" s="8" t="s">
        <v>5</v>
      </c>
      <c r="B2" s="9" t="s">
        <v>6</v>
      </c>
      <c r="C2" s="10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0" t="s">
        <v>13</v>
      </c>
      <c r="J2" s="10" t="s">
        <v>14</v>
      </c>
      <c r="K2" s="4"/>
      <c r="L2" s="15" t="s">
        <v>51</v>
      </c>
      <c r="M2" s="11">
        <v>2.0</v>
      </c>
      <c r="N2" s="11">
        <v>1.0</v>
      </c>
      <c r="O2" s="15" t="s">
        <v>52</v>
      </c>
      <c r="P2" s="6"/>
      <c r="Q2" s="12">
        <f t="shared" ref="Q2:Q13" si="2">+IF(AND(M2&lt;&gt;"",N2&lt;&gt;""),1,0)</f>
        <v>1</v>
      </c>
      <c r="R2" s="6">
        <f t="shared" ref="R2:R13" si="3">IF(OR(M2="",N2=""), "", IF(M2=N2, 1, IF(M2&gt;N2, 3, 0)))</f>
        <v>3</v>
      </c>
      <c r="S2" s="6">
        <f t="shared" ref="S2:S13" si="4">IF(OR(M2="",N2=""), "", IF(M2=N2, 1, IF(M2&lt;N2, 3, 0)))</f>
        <v>0</v>
      </c>
      <c r="T2" s="7"/>
      <c r="U2" s="7"/>
      <c r="V2" s="7"/>
      <c r="W2" s="7"/>
      <c r="X2" s="7"/>
      <c r="Y2" s="7"/>
      <c r="Z2" s="7"/>
      <c r="AA2" s="7"/>
    </row>
    <row r="3">
      <c r="A3" s="13">
        <v>1.0</v>
      </c>
      <c r="B3" s="14" t="str">
        <f t="shared" ref="B3:J3" si="1">INDEX(B$30:B$39,MATCH($A3,$L$30:$L$39,0))</f>
        <v>Douglas Haig</v>
      </c>
      <c r="C3" s="14">
        <f t="shared" si="1"/>
        <v>18</v>
      </c>
      <c r="D3" s="14">
        <f t="shared" si="1"/>
        <v>8</v>
      </c>
      <c r="E3" s="14">
        <f t="shared" si="1"/>
        <v>5</v>
      </c>
      <c r="F3" s="14">
        <f t="shared" si="1"/>
        <v>3</v>
      </c>
      <c r="G3" s="14">
        <f t="shared" si="1"/>
        <v>0</v>
      </c>
      <c r="H3" s="14">
        <f t="shared" si="1"/>
        <v>13</v>
      </c>
      <c r="I3" s="14">
        <f t="shared" si="1"/>
        <v>6</v>
      </c>
      <c r="J3" s="14">
        <f t="shared" si="1"/>
        <v>7</v>
      </c>
      <c r="K3" s="4"/>
      <c r="L3" s="15" t="s">
        <v>53</v>
      </c>
      <c r="M3" s="11">
        <v>1.0</v>
      </c>
      <c r="N3" s="11">
        <v>1.0</v>
      </c>
      <c r="O3" s="15" t="s">
        <v>54</v>
      </c>
      <c r="P3" s="6"/>
      <c r="Q3" s="12">
        <f t="shared" si="2"/>
        <v>1</v>
      </c>
      <c r="R3" s="6">
        <f t="shared" si="3"/>
        <v>1</v>
      </c>
      <c r="S3" s="6">
        <f t="shared" si="4"/>
        <v>1</v>
      </c>
      <c r="T3" s="7"/>
      <c r="U3" s="7"/>
      <c r="V3" s="7"/>
      <c r="W3" s="7"/>
      <c r="X3" s="7"/>
      <c r="Y3" s="7"/>
      <c r="Z3" s="7"/>
      <c r="AA3" s="7"/>
    </row>
    <row r="4">
      <c r="A4" s="13">
        <v>2.0</v>
      </c>
      <c r="B4" s="14" t="str">
        <f t="shared" ref="B4:J4" si="5">INDEX(B$30:B$39,MATCH($A4,$L$30:$L$39,0))</f>
        <v>Boca Unidos</v>
      </c>
      <c r="C4" s="14">
        <f t="shared" si="5"/>
        <v>17</v>
      </c>
      <c r="D4" s="14">
        <f t="shared" si="5"/>
        <v>8</v>
      </c>
      <c r="E4" s="14">
        <f t="shared" si="5"/>
        <v>5</v>
      </c>
      <c r="F4" s="14">
        <f t="shared" si="5"/>
        <v>2</v>
      </c>
      <c r="G4" s="14">
        <f t="shared" si="5"/>
        <v>1</v>
      </c>
      <c r="H4" s="14">
        <f t="shared" si="5"/>
        <v>11</v>
      </c>
      <c r="I4" s="14">
        <f t="shared" si="5"/>
        <v>8</v>
      </c>
      <c r="J4" s="14">
        <f t="shared" si="5"/>
        <v>3</v>
      </c>
      <c r="K4" s="4"/>
      <c r="L4" s="15" t="s">
        <v>55</v>
      </c>
      <c r="M4" s="11">
        <v>3.0</v>
      </c>
      <c r="N4" s="11">
        <v>2.0</v>
      </c>
      <c r="O4" s="15" t="s">
        <v>56</v>
      </c>
      <c r="P4" s="6"/>
      <c r="Q4" s="12">
        <f t="shared" si="2"/>
        <v>1</v>
      </c>
      <c r="R4" s="6">
        <f t="shared" si="3"/>
        <v>3</v>
      </c>
      <c r="S4" s="6">
        <f t="shared" si="4"/>
        <v>0</v>
      </c>
      <c r="T4" s="7"/>
      <c r="U4" s="7"/>
      <c r="V4" s="7"/>
      <c r="W4" s="7"/>
      <c r="X4" s="7"/>
      <c r="Y4" s="7"/>
      <c r="Z4" s="7"/>
      <c r="AA4" s="7"/>
    </row>
    <row r="5">
      <c r="A5" s="13">
        <v>3.0</v>
      </c>
      <c r="B5" s="14" t="str">
        <f t="shared" ref="B5:J5" si="6">INDEX(B$30:B$39,MATCH($A5,$L$30:$L$39,0))</f>
        <v>Independiente (Ch)</v>
      </c>
      <c r="C5" s="14">
        <f t="shared" si="6"/>
        <v>15</v>
      </c>
      <c r="D5" s="14">
        <f t="shared" si="6"/>
        <v>8</v>
      </c>
      <c r="E5" s="14">
        <f t="shared" si="6"/>
        <v>4</v>
      </c>
      <c r="F5" s="14">
        <f t="shared" si="6"/>
        <v>3</v>
      </c>
      <c r="G5" s="14">
        <f t="shared" si="6"/>
        <v>1</v>
      </c>
      <c r="H5" s="14">
        <f t="shared" si="6"/>
        <v>16</v>
      </c>
      <c r="I5" s="14">
        <f t="shared" si="6"/>
        <v>9</v>
      </c>
      <c r="J5" s="14">
        <f t="shared" si="6"/>
        <v>7</v>
      </c>
      <c r="K5" s="6"/>
      <c r="L5" s="15" t="s">
        <v>57</v>
      </c>
      <c r="M5" s="11">
        <v>1.0</v>
      </c>
      <c r="N5" s="11">
        <v>2.0</v>
      </c>
      <c r="O5" s="15" t="s">
        <v>58</v>
      </c>
      <c r="P5" s="6"/>
      <c r="Q5" s="12">
        <f t="shared" si="2"/>
        <v>1</v>
      </c>
      <c r="R5" s="6">
        <f t="shared" si="3"/>
        <v>0</v>
      </c>
      <c r="S5" s="6">
        <f t="shared" si="4"/>
        <v>3</v>
      </c>
      <c r="T5" s="7"/>
      <c r="U5" s="7"/>
      <c r="V5" s="18"/>
      <c r="W5" s="7"/>
      <c r="X5" s="7"/>
      <c r="Y5" s="7"/>
      <c r="Z5" s="7"/>
      <c r="AA5" s="7"/>
    </row>
    <row r="6">
      <c r="A6" s="13">
        <v>4.0</v>
      </c>
      <c r="B6" s="14" t="str">
        <f t="shared" ref="B6:J6" si="7">INDEX(B$30:B$39,MATCH($A6,$L$30:$L$39,0))</f>
        <v>Sarmiento (R)</v>
      </c>
      <c r="C6" s="14">
        <f t="shared" si="7"/>
        <v>12</v>
      </c>
      <c r="D6" s="14">
        <f t="shared" si="7"/>
        <v>8</v>
      </c>
      <c r="E6" s="14">
        <f t="shared" si="7"/>
        <v>3</v>
      </c>
      <c r="F6" s="14">
        <f t="shared" si="7"/>
        <v>3</v>
      </c>
      <c r="G6" s="14">
        <f t="shared" si="7"/>
        <v>2</v>
      </c>
      <c r="H6" s="14">
        <f t="shared" si="7"/>
        <v>5</v>
      </c>
      <c r="I6" s="14">
        <f t="shared" si="7"/>
        <v>5</v>
      </c>
      <c r="J6" s="14">
        <f t="shared" si="7"/>
        <v>0</v>
      </c>
      <c r="K6" s="6"/>
      <c r="L6" s="15" t="s">
        <v>59</v>
      </c>
      <c r="M6" s="11">
        <v>1.0</v>
      </c>
      <c r="N6" s="11">
        <v>0.0</v>
      </c>
      <c r="O6" s="15" t="s">
        <v>60</v>
      </c>
      <c r="Q6" s="12">
        <f t="shared" si="2"/>
        <v>1</v>
      </c>
      <c r="R6" s="6">
        <f t="shared" si="3"/>
        <v>3</v>
      </c>
      <c r="S6" s="6">
        <f t="shared" si="4"/>
        <v>0</v>
      </c>
      <c r="T6" s="7"/>
      <c r="U6" s="7"/>
      <c r="V6" s="18"/>
      <c r="W6" s="7"/>
      <c r="X6" s="7"/>
      <c r="Y6" s="7"/>
      <c r="Z6" s="7"/>
      <c r="AA6" s="7"/>
    </row>
    <row r="7">
      <c r="A7" s="13">
        <v>5.0</v>
      </c>
      <c r="B7" s="14" t="str">
        <f t="shared" ref="B7:J7" si="8">INDEX(B$30:B$39,MATCH($A7,$L$30:$L$39,0))</f>
        <v>El Linqueño</v>
      </c>
      <c r="C7" s="14">
        <f t="shared" si="8"/>
        <v>10</v>
      </c>
      <c r="D7" s="14">
        <f t="shared" si="8"/>
        <v>8</v>
      </c>
      <c r="E7" s="14">
        <f t="shared" si="8"/>
        <v>2</v>
      </c>
      <c r="F7" s="14">
        <f t="shared" si="8"/>
        <v>4</v>
      </c>
      <c r="G7" s="14">
        <f t="shared" si="8"/>
        <v>2</v>
      </c>
      <c r="H7" s="14">
        <f t="shared" si="8"/>
        <v>5</v>
      </c>
      <c r="I7" s="14">
        <f t="shared" si="8"/>
        <v>6</v>
      </c>
      <c r="J7" s="14">
        <f t="shared" si="8"/>
        <v>-1</v>
      </c>
      <c r="K7" s="6"/>
      <c r="L7" s="6"/>
      <c r="M7" s="6"/>
      <c r="N7" s="6"/>
      <c r="O7" s="6"/>
      <c r="Q7" s="12">
        <f t="shared" si="2"/>
        <v>0</v>
      </c>
      <c r="R7" s="6" t="str">
        <f t="shared" si="3"/>
        <v/>
      </c>
      <c r="S7" s="6" t="str">
        <f t="shared" si="4"/>
        <v/>
      </c>
      <c r="T7" s="7"/>
      <c r="U7" s="7"/>
      <c r="W7" s="7"/>
      <c r="X7" s="7"/>
      <c r="Y7" s="7"/>
      <c r="Z7" s="7"/>
      <c r="AA7" s="7"/>
    </row>
    <row r="8">
      <c r="A8" s="13">
        <v>6.0</v>
      </c>
      <c r="B8" s="14" t="str">
        <f t="shared" ref="B8:J8" si="9">INDEX(B$30:B$39,MATCH($A8,$L$30:$L$39,0))</f>
        <v>Gimnasia (CdU)</v>
      </c>
      <c r="C8" s="14">
        <f t="shared" si="9"/>
        <v>9</v>
      </c>
      <c r="D8" s="14">
        <f t="shared" si="9"/>
        <v>8</v>
      </c>
      <c r="E8" s="14">
        <f t="shared" si="9"/>
        <v>3</v>
      </c>
      <c r="F8" s="14">
        <f t="shared" si="9"/>
        <v>0</v>
      </c>
      <c r="G8" s="14">
        <f t="shared" si="9"/>
        <v>5</v>
      </c>
      <c r="H8" s="14">
        <f t="shared" si="9"/>
        <v>7</v>
      </c>
      <c r="I8" s="14">
        <f t="shared" si="9"/>
        <v>8</v>
      </c>
      <c r="J8" s="14">
        <f t="shared" si="9"/>
        <v>-1</v>
      </c>
      <c r="K8" s="6"/>
      <c r="L8" s="5" t="s">
        <v>23</v>
      </c>
      <c r="M8" s="2"/>
      <c r="N8" s="2"/>
      <c r="O8" s="3"/>
      <c r="Q8" s="12">
        <f t="shared" si="2"/>
        <v>0</v>
      </c>
      <c r="R8" s="6" t="str">
        <f t="shared" si="3"/>
        <v/>
      </c>
      <c r="S8" s="6" t="str">
        <f t="shared" si="4"/>
        <v/>
      </c>
      <c r="T8" s="7"/>
      <c r="U8" s="7"/>
      <c r="V8" s="18"/>
      <c r="W8" s="7"/>
      <c r="X8" s="7"/>
      <c r="Y8" s="7"/>
      <c r="Z8" s="7"/>
      <c r="AA8" s="7"/>
    </row>
    <row r="9">
      <c r="A9" s="19">
        <v>7.0</v>
      </c>
      <c r="B9" s="17" t="str">
        <f t="shared" ref="B9:J9" si="10">INDEX(B$30:B$39,MATCH($A9,$L$30:$L$39,0))</f>
        <v>Crucero del Norte</v>
      </c>
      <c r="C9" s="17">
        <f t="shared" si="10"/>
        <v>8</v>
      </c>
      <c r="D9" s="17">
        <f t="shared" si="10"/>
        <v>8</v>
      </c>
      <c r="E9" s="17">
        <f t="shared" si="10"/>
        <v>2</v>
      </c>
      <c r="F9" s="17">
        <f t="shared" si="10"/>
        <v>2</v>
      </c>
      <c r="G9" s="17">
        <f t="shared" si="10"/>
        <v>4</v>
      </c>
      <c r="H9" s="17">
        <f t="shared" si="10"/>
        <v>4</v>
      </c>
      <c r="I9" s="17">
        <f t="shared" si="10"/>
        <v>11</v>
      </c>
      <c r="J9" s="17">
        <f t="shared" si="10"/>
        <v>-7</v>
      </c>
      <c r="K9" s="6"/>
      <c r="L9" s="15" t="s">
        <v>52</v>
      </c>
      <c r="M9" s="11"/>
      <c r="N9" s="11"/>
      <c r="O9" s="15" t="s">
        <v>59</v>
      </c>
      <c r="Q9" s="12">
        <f t="shared" si="2"/>
        <v>0</v>
      </c>
      <c r="R9" s="6" t="str">
        <f t="shared" si="3"/>
        <v/>
      </c>
      <c r="S9" s="6" t="str">
        <f t="shared" si="4"/>
        <v/>
      </c>
      <c r="V9" s="18"/>
      <c r="W9" s="7"/>
      <c r="X9" s="7"/>
      <c r="Y9" s="7"/>
      <c r="Z9" s="7"/>
      <c r="AA9" s="7"/>
    </row>
    <row r="10">
      <c r="A10" s="19">
        <v>8.0</v>
      </c>
      <c r="B10" s="17" t="str">
        <f t="shared" ref="B10:J10" si="11">INDEX(B$30:B$39,MATCH($A10,$L$30:$L$39,0))</f>
        <v>Juv. Antoniana</v>
      </c>
      <c r="C10" s="17">
        <f t="shared" si="11"/>
        <v>7</v>
      </c>
      <c r="D10" s="17">
        <f t="shared" si="11"/>
        <v>8</v>
      </c>
      <c r="E10" s="17">
        <f t="shared" si="11"/>
        <v>2</v>
      </c>
      <c r="F10" s="17">
        <f t="shared" si="11"/>
        <v>1</v>
      </c>
      <c r="G10" s="17">
        <f t="shared" si="11"/>
        <v>5</v>
      </c>
      <c r="H10" s="17">
        <f t="shared" si="11"/>
        <v>6</v>
      </c>
      <c r="I10" s="17">
        <f t="shared" si="11"/>
        <v>10</v>
      </c>
      <c r="J10" s="17">
        <f t="shared" si="11"/>
        <v>-4</v>
      </c>
      <c r="K10" s="6"/>
      <c r="L10" s="15" t="s">
        <v>60</v>
      </c>
      <c r="M10" s="11"/>
      <c r="N10" s="11"/>
      <c r="O10" s="15" t="s">
        <v>57</v>
      </c>
      <c r="Q10" s="12">
        <f t="shared" si="2"/>
        <v>0</v>
      </c>
      <c r="R10" s="6" t="str">
        <f t="shared" si="3"/>
        <v/>
      </c>
      <c r="S10" s="6" t="str">
        <f t="shared" si="4"/>
        <v/>
      </c>
      <c r="T10" s="7"/>
      <c r="U10" s="7"/>
      <c r="V10" s="18"/>
      <c r="W10" s="7"/>
      <c r="X10" s="7"/>
      <c r="Y10" s="7"/>
      <c r="Z10" s="7"/>
      <c r="AA10" s="7"/>
    </row>
    <row r="11">
      <c r="A11" s="19">
        <v>9.0</v>
      </c>
      <c r="B11" s="17" t="str">
        <f t="shared" ref="B11:J11" si="12">INDEX(B$30:B$39,MATCH($A11,$L$30:$L$39,0))</f>
        <v>Unión (S)</v>
      </c>
      <c r="C11" s="17">
        <f t="shared" si="12"/>
        <v>6</v>
      </c>
      <c r="D11" s="17">
        <f t="shared" si="12"/>
        <v>8</v>
      </c>
      <c r="E11" s="17">
        <f t="shared" si="12"/>
        <v>1</v>
      </c>
      <c r="F11" s="17">
        <f t="shared" si="12"/>
        <v>3</v>
      </c>
      <c r="G11" s="17">
        <f t="shared" si="12"/>
        <v>4</v>
      </c>
      <c r="H11" s="17">
        <f t="shared" si="12"/>
        <v>11</v>
      </c>
      <c r="I11" s="17">
        <f t="shared" si="12"/>
        <v>11</v>
      </c>
      <c r="J11" s="17">
        <f t="shared" si="12"/>
        <v>0</v>
      </c>
      <c r="K11" s="6"/>
      <c r="L11" s="15" t="s">
        <v>58</v>
      </c>
      <c r="M11" s="11"/>
      <c r="N11" s="11"/>
      <c r="O11" s="15" t="s">
        <v>55</v>
      </c>
      <c r="P11" s="6"/>
      <c r="Q11" s="12">
        <f t="shared" si="2"/>
        <v>0</v>
      </c>
      <c r="R11" s="6" t="str">
        <f t="shared" si="3"/>
        <v/>
      </c>
      <c r="S11" s="6" t="str">
        <f t="shared" si="4"/>
        <v/>
      </c>
      <c r="T11" s="7"/>
      <c r="U11" s="7"/>
      <c r="V11" s="18"/>
      <c r="W11" s="7"/>
      <c r="X11" s="7"/>
      <c r="Y11" s="7"/>
      <c r="Z11" s="7"/>
      <c r="AA11" s="7"/>
    </row>
    <row r="12">
      <c r="A12" s="19">
        <v>10.0</v>
      </c>
      <c r="B12" s="17" t="str">
        <f t="array" ref="B12">INDEX(B$30:B$39,MATCH($A12,$L$30:$L$39,0))</f>
        <v>DEPRO</v>
      </c>
      <c r="C12" s="17">
        <f t="shared" ref="C12:J12" si="13">INDEX(C$30:C$35,MATCH($A12,$L$30:$L$35,0))</f>
        <v>6</v>
      </c>
      <c r="D12" s="17">
        <f t="shared" si="13"/>
        <v>8</v>
      </c>
      <c r="E12" s="17">
        <f t="shared" si="13"/>
        <v>1</v>
      </c>
      <c r="F12" s="17">
        <f t="shared" si="13"/>
        <v>3</v>
      </c>
      <c r="G12" s="17">
        <f t="shared" si="13"/>
        <v>4</v>
      </c>
      <c r="H12" s="17">
        <f t="shared" si="13"/>
        <v>6</v>
      </c>
      <c r="I12" s="17">
        <f t="shared" si="13"/>
        <v>10</v>
      </c>
      <c r="J12" s="17">
        <f t="shared" si="13"/>
        <v>-4</v>
      </c>
      <c r="K12" s="6"/>
      <c r="L12" s="15" t="s">
        <v>56</v>
      </c>
      <c r="M12" s="11"/>
      <c r="N12" s="11"/>
      <c r="O12" s="15" t="s">
        <v>53</v>
      </c>
      <c r="P12" s="6"/>
      <c r="Q12" s="12">
        <f t="shared" si="2"/>
        <v>0</v>
      </c>
      <c r="R12" s="6" t="str">
        <f t="shared" si="3"/>
        <v/>
      </c>
      <c r="S12" s="6" t="str">
        <f t="shared" si="4"/>
        <v/>
      </c>
      <c r="T12" s="7"/>
      <c r="U12" s="7"/>
      <c r="V12" s="7"/>
      <c r="W12" s="7"/>
      <c r="X12" s="7"/>
      <c r="Y12" s="7"/>
      <c r="Z12" s="7"/>
      <c r="AA12" s="7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5" t="s">
        <v>54</v>
      </c>
      <c r="M13" s="11"/>
      <c r="N13" s="11"/>
      <c r="O13" s="15" t="s">
        <v>51</v>
      </c>
      <c r="P13" s="6"/>
      <c r="Q13" s="12">
        <f t="shared" si="2"/>
        <v>0</v>
      </c>
      <c r="R13" s="6" t="str">
        <f t="shared" si="3"/>
        <v/>
      </c>
      <c r="S13" s="6" t="str">
        <f t="shared" si="4"/>
        <v/>
      </c>
      <c r="T13" s="7"/>
      <c r="U13" s="7"/>
      <c r="V13" s="37" t="s">
        <v>25</v>
      </c>
      <c r="W13" s="7"/>
      <c r="X13" s="7"/>
      <c r="Y13" s="7"/>
      <c r="Z13" s="7"/>
      <c r="AA13" s="7"/>
    </row>
    <row r="14">
      <c r="A14" s="33" t="s">
        <v>49</v>
      </c>
      <c r="B14" s="2"/>
      <c r="C14" s="2"/>
      <c r="D14" s="2"/>
      <c r="E14" s="2"/>
      <c r="F14" s="2"/>
      <c r="G14" s="2"/>
      <c r="H14" s="2"/>
      <c r="I14" s="2"/>
      <c r="J14" s="3"/>
      <c r="K14" s="6"/>
      <c r="P14" s="6"/>
      <c r="Q14" s="6"/>
      <c r="R14" s="6"/>
      <c r="S14" s="6"/>
      <c r="T14" s="7"/>
      <c r="U14" s="7"/>
      <c r="V14" s="7"/>
      <c r="W14" s="7"/>
      <c r="X14" s="7"/>
      <c r="Y14" s="7"/>
      <c r="Z14" s="7"/>
      <c r="AA14" s="7"/>
    </row>
    <row r="15">
      <c r="A15" s="8" t="s">
        <v>5</v>
      </c>
      <c r="B15" s="9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6"/>
      <c r="P15" s="6"/>
      <c r="Q15" s="6"/>
      <c r="R15" s="6"/>
      <c r="S15" s="6"/>
      <c r="T15" s="7"/>
      <c r="U15" s="7"/>
      <c r="V15" s="7"/>
      <c r="W15" s="7"/>
      <c r="X15" s="7"/>
      <c r="Y15" s="7"/>
      <c r="Z15" s="7"/>
      <c r="AA15" s="7"/>
    </row>
    <row r="16">
      <c r="A16" s="16">
        <v>1.0</v>
      </c>
      <c r="B16" s="17" t="str">
        <f t="shared" ref="B16:J16" si="14">INDEX(B$43:B$52,MATCH($A16,$L$43:$L$52,0))</f>
        <v>Douglas Haig</v>
      </c>
      <c r="C16" s="17">
        <f t="shared" si="14"/>
        <v>37</v>
      </c>
      <c r="D16" s="17">
        <f t="shared" si="14"/>
        <v>24</v>
      </c>
      <c r="E16" s="17">
        <f t="shared" si="14"/>
        <v>9</v>
      </c>
      <c r="F16" s="17">
        <f t="shared" si="14"/>
        <v>10</v>
      </c>
      <c r="G16" s="17">
        <f t="shared" si="14"/>
        <v>5</v>
      </c>
      <c r="H16" s="17">
        <f t="shared" si="14"/>
        <v>27</v>
      </c>
      <c r="I16" s="17">
        <f t="shared" si="14"/>
        <v>19</v>
      </c>
      <c r="J16" s="17">
        <f t="shared" si="14"/>
        <v>8</v>
      </c>
      <c r="K16" s="6"/>
      <c r="P16" s="6"/>
      <c r="Q16" s="6"/>
      <c r="R16" s="6"/>
      <c r="S16" s="6"/>
      <c r="T16" s="7"/>
      <c r="U16" s="7"/>
      <c r="V16" s="7"/>
      <c r="W16" s="7"/>
      <c r="X16" s="7"/>
      <c r="Y16" s="7"/>
      <c r="Z16" s="7"/>
      <c r="AA16" s="7"/>
    </row>
    <row r="17">
      <c r="A17" s="16">
        <v>2.0</v>
      </c>
      <c r="B17" s="17" t="str">
        <f t="shared" ref="B17:J17" si="15">INDEX(B$43:B$52,MATCH($A17,$L$43:$L$52,0))</f>
        <v>Independiente (Ch)</v>
      </c>
      <c r="C17" s="17">
        <f t="shared" si="15"/>
        <v>34</v>
      </c>
      <c r="D17" s="17">
        <f t="shared" si="15"/>
        <v>24</v>
      </c>
      <c r="E17" s="17">
        <f t="shared" si="15"/>
        <v>8</v>
      </c>
      <c r="F17" s="17">
        <f t="shared" si="15"/>
        <v>10</v>
      </c>
      <c r="G17" s="17">
        <f t="shared" si="15"/>
        <v>6</v>
      </c>
      <c r="H17" s="17">
        <f t="shared" si="15"/>
        <v>29</v>
      </c>
      <c r="I17" s="17">
        <f t="shared" si="15"/>
        <v>22</v>
      </c>
      <c r="J17" s="17">
        <f t="shared" si="15"/>
        <v>7</v>
      </c>
      <c r="K17" s="6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</row>
    <row r="18">
      <c r="A18" s="16">
        <v>3.0</v>
      </c>
      <c r="B18" s="17" t="str">
        <f t="shared" ref="B18:J18" si="16">INDEX(B$43:B$52,MATCH($A18,$L$43:$L$52,0))</f>
        <v>El Linqueño</v>
      </c>
      <c r="C18" s="17">
        <f t="shared" si="16"/>
        <v>32</v>
      </c>
      <c r="D18" s="17">
        <f t="shared" si="16"/>
        <v>24</v>
      </c>
      <c r="E18" s="17">
        <f t="shared" si="16"/>
        <v>8</v>
      </c>
      <c r="F18" s="17">
        <f t="shared" si="16"/>
        <v>8</v>
      </c>
      <c r="G18" s="17">
        <f t="shared" si="16"/>
        <v>8</v>
      </c>
      <c r="H18" s="17">
        <f t="shared" si="16"/>
        <v>18</v>
      </c>
      <c r="I18" s="17">
        <f t="shared" si="16"/>
        <v>18</v>
      </c>
      <c r="J18" s="17">
        <f t="shared" si="16"/>
        <v>0</v>
      </c>
      <c r="K18" s="6"/>
      <c r="P18" s="6"/>
      <c r="Q18" s="6"/>
      <c r="R18" s="6"/>
      <c r="S18" s="6"/>
      <c r="T18" s="7"/>
      <c r="U18" s="7"/>
      <c r="V18" s="7"/>
      <c r="W18" s="7"/>
      <c r="X18" s="7"/>
      <c r="Y18" s="7"/>
      <c r="Z18" s="7"/>
      <c r="AA18" s="7"/>
    </row>
    <row r="19">
      <c r="A19" s="16">
        <v>4.0</v>
      </c>
      <c r="B19" s="17" t="str">
        <f t="shared" ref="B19:J19" si="17">INDEX(B$43:B$52,MATCH($A19,$L$43:$L$52,0))</f>
        <v>Boca Unidos</v>
      </c>
      <c r="C19" s="17">
        <f t="shared" si="17"/>
        <v>31</v>
      </c>
      <c r="D19" s="17">
        <f t="shared" si="17"/>
        <v>24</v>
      </c>
      <c r="E19" s="17">
        <f t="shared" si="17"/>
        <v>8</v>
      </c>
      <c r="F19" s="17">
        <f t="shared" si="17"/>
        <v>7</v>
      </c>
      <c r="G19" s="17">
        <f t="shared" si="17"/>
        <v>9</v>
      </c>
      <c r="H19" s="17">
        <f t="shared" si="17"/>
        <v>24</v>
      </c>
      <c r="I19" s="17">
        <f t="shared" si="17"/>
        <v>27</v>
      </c>
      <c r="J19" s="17">
        <f t="shared" si="17"/>
        <v>-3</v>
      </c>
      <c r="K19" s="6"/>
      <c r="P19" s="6"/>
      <c r="Q19" s="6"/>
      <c r="R19" s="6"/>
      <c r="S19" s="6"/>
      <c r="T19" s="7"/>
      <c r="U19" s="7"/>
      <c r="V19" s="7"/>
      <c r="W19" s="7"/>
      <c r="X19" s="7"/>
      <c r="Y19" s="7"/>
      <c r="Z19" s="7"/>
      <c r="AA19" s="7"/>
    </row>
    <row r="20">
      <c r="A20" s="16">
        <v>5.0</v>
      </c>
      <c r="B20" s="17" t="str">
        <f t="shared" ref="B20:J20" si="18">INDEX(B$43:B$52,MATCH($A20,$L$43:$L$52,0))</f>
        <v>Juv. Antoniana</v>
      </c>
      <c r="C20" s="17">
        <f t="shared" si="18"/>
        <v>26</v>
      </c>
      <c r="D20" s="17">
        <f t="shared" si="18"/>
        <v>24</v>
      </c>
      <c r="E20" s="17">
        <f t="shared" si="18"/>
        <v>7</v>
      </c>
      <c r="F20" s="17">
        <f t="shared" si="18"/>
        <v>5</v>
      </c>
      <c r="G20" s="17">
        <f t="shared" si="18"/>
        <v>12</v>
      </c>
      <c r="H20" s="17">
        <f t="shared" si="18"/>
        <v>20</v>
      </c>
      <c r="I20" s="17">
        <f t="shared" si="18"/>
        <v>27</v>
      </c>
      <c r="J20" s="17">
        <f t="shared" si="18"/>
        <v>-7</v>
      </c>
      <c r="K20" s="6"/>
      <c r="P20" s="6"/>
      <c r="Q20" s="6"/>
      <c r="R20" s="6"/>
      <c r="S20" s="6"/>
      <c r="T20" s="7"/>
      <c r="U20" s="7"/>
      <c r="V20" s="7"/>
      <c r="W20" s="7"/>
      <c r="X20" s="7"/>
      <c r="Y20" s="7"/>
      <c r="Z20" s="7"/>
      <c r="AA20" s="7"/>
    </row>
    <row r="21">
      <c r="A21" s="16">
        <v>6.0</v>
      </c>
      <c r="B21" s="17" t="str">
        <f t="shared" ref="B21:J21" si="19">INDEX(B$43:B$52,MATCH($A21,$L$43:$L$52,0))</f>
        <v>Sarmiento (R)</v>
      </c>
      <c r="C21" s="17">
        <f t="shared" si="19"/>
        <v>24</v>
      </c>
      <c r="D21" s="17">
        <f t="shared" si="19"/>
        <v>24</v>
      </c>
      <c r="E21" s="17">
        <f t="shared" si="19"/>
        <v>5</v>
      </c>
      <c r="F21" s="17">
        <f t="shared" si="19"/>
        <v>9</v>
      </c>
      <c r="G21" s="17">
        <f t="shared" si="19"/>
        <v>10</v>
      </c>
      <c r="H21" s="17">
        <f t="shared" si="19"/>
        <v>17</v>
      </c>
      <c r="I21" s="17">
        <f t="shared" si="19"/>
        <v>39</v>
      </c>
      <c r="J21" s="17">
        <f t="shared" si="19"/>
        <v>-22</v>
      </c>
      <c r="K21" s="6"/>
      <c r="L21" s="6"/>
      <c r="M21" s="6"/>
      <c r="N21" s="6"/>
      <c r="O21" s="6"/>
      <c r="P21" s="6"/>
      <c r="Q21" s="6"/>
      <c r="R21" s="6"/>
      <c r="S21" s="6"/>
      <c r="T21" s="7"/>
      <c r="U21" s="7"/>
      <c r="V21" s="7"/>
      <c r="W21" s="7"/>
      <c r="X21" s="7"/>
      <c r="Y21" s="7"/>
      <c r="Z21" s="7"/>
      <c r="AA21" s="7"/>
    </row>
    <row r="22">
      <c r="A22" s="19">
        <v>7.0</v>
      </c>
      <c r="B22" s="17" t="str">
        <f t="shared" ref="B22:J22" si="20">INDEX(B$43:B$52,MATCH($A22,$L$43:$L$52,0))</f>
        <v>Crucero del Norte</v>
      </c>
      <c r="C22" s="17">
        <f t="shared" si="20"/>
        <v>23</v>
      </c>
      <c r="D22" s="17">
        <f t="shared" si="20"/>
        <v>24</v>
      </c>
      <c r="E22" s="17">
        <f t="shared" si="20"/>
        <v>5</v>
      </c>
      <c r="F22" s="17">
        <f t="shared" si="20"/>
        <v>8</v>
      </c>
      <c r="G22" s="17">
        <f t="shared" si="20"/>
        <v>11</v>
      </c>
      <c r="H22" s="17">
        <f t="shared" si="20"/>
        <v>15</v>
      </c>
      <c r="I22" s="17">
        <f t="shared" si="20"/>
        <v>28</v>
      </c>
      <c r="J22" s="17">
        <f t="shared" si="20"/>
        <v>-13</v>
      </c>
      <c r="K22" s="6"/>
      <c r="L22" s="6"/>
      <c r="M22" s="6"/>
      <c r="N22" s="6"/>
      <c r="O22" s="6"/>
      <c r="P22" s="6"/>
      <c r="Q22" s="6"/>
      <c r="R22" s="6"/>
      <c r="S22" s="6"/>
      <c r="T22" s="7"/>
      <c r="U22" s="7"/>
      <c r="V22" s="7"/>
      <c r="W22" s="7"/>
      <c r="X22" s="7"/>
      <c r="Y22" s="7"/>
      <c r="Z22" s="7"/>
      <c r="AA22" s="7"/>
    </row>
    <row r="23">
      <c r="A23" s="19">
        <v>8.0</v>
      </c>
      <c r="B23" s="17" t="str">
        <f t="shared" ref="B23:J23" si="21">INDEX(B$43:B$52,MATCH($A23,$L$43:$L$52,0))</f>
        <v>Unión (S)</v>
      </c>
      <c r="C23" s="17">
        <f t="shared" si="21"/>
        <v>22</v>
      </c>
      <c r="D23" s="17">
        <f t="shared" si="21"/>
        <v>24</v>
      </c>
      <c r="E23" s="17">
        <f t="shared" si="21"/>
        <v>5</v>
      </c>
      <c r="F23" s="17">
        <f t="shared" si="21"/>
        <v>7</v>
      </c>
      <c r="G23" s="17">
        <f t="shared" si="21"/>
        <v>12</v>
      </c>
      <c r="H23" s="17">
        <f t="shared" si="21"/>
        <v>22</v>
      </c>
      <c r="I23" s="17">
        <f t="shared" si="21"/>
        <v>35</v>
      </c>
      <c r="J23" s="17">
        <f t="shared" si="21"/>
        <v>-13</v>
      </c>
      <c r="K23" s="6"/>
      <c r="L23" s="6"/>
      <c r="M23" s="6"/>
      <c r="N23" s="6"/>
      <c r="O23" s="6"/>
      <c r="P23" s="6"/>
      <c r="Q23" s="6"/>
      <c r="R23" s="6"/>
      <c r="S23" s="6"/>
      <c r="T23" s="7"/>
      <c r="U23" s="7"/>
      <c r="V23" s="7"/>
      <c r="W23" s="7"/>
      <c r="X23" s="7"/>
      <c r="Y23" s="7"/>
      <c r="Z23" s="7"/>
      <c r="AA23" s="7"/>
    </row>
    <row r="24">
      <c r="A24" s="34">
        <v>9.0</v>
      </c>
      <c r="B24" s="34" t="str">
        <f t="shared" ref="B24:J24" si="22">INDEX(B$43:B$52,MATCH($A24,$L$43:$L$52,0))</f>
        <v>Gimnasia (CdU)</v>
      </c>
      <c r="C24" s="35">
        <f t="shared" si="22"/>
        <v>20</v>
      </c>
      <c r="D24" s="35">
        <f t="shared" si="22"/>
        <v>24</v>
      </c>
      <c r="E24" s="35">
        <f t="shared" si="22"/>
        <v>5</v>
      </c>
      <c r="F24" s="35">
        <f t="shared" si="22"/>
        <v>5</v>
      </c>
      <c r="G24" s="35">
        <f t="shared" si="22"/>
        <v>14</v>
      </c>
      <c r="H24" s="35">
        <f t="shared" si="22"/>
        <v>16</v>
      </c>
      <c r="I24" s="35">
        <f t="shared" si="22"/>
        <v>31</v>
      </c>
      <c r="J24" s="35">
        <f t="shared" si="22"/>
        <v>-15</v>
      </c>
      <c r="K24" s="6"/>
      <c r="L24" s="6"/>
      <c r="M24" s="6"/>
      <c r="N24" s="6"/>
      <c r="O24" s="6"/>
      <c r="P24" s="6"/>
      <c r="Q24" s="6"/>
      <c r="R24" s="6"/>
      <c r="S24" s="6"/>
      <c r="T24" s="7"/>
      <c r="U24" s="7"/>
      <c r="V24" s="7"/>
      <c r="W24" s="7"/>
      <c r="X24" s="7"/>
      <c r="Y24" s="7"/>
      <c r="Z24" s="7"/>
      <c r="AA24" s="7"/>
    </row>
    <row r="25">
      <c r="A25" s="34">
        <v>10.0</v>
      </c>
      <c r="B25" s="34" t="str">
        <f t="shared" ref="B25:J25" si="23">INDEX(B$43:B$52,MATCH($A25,$L$43:$L$52,0))</f>
        <v>DEPRO</v>
      </c>
      <c r="C25" s="35">
        <f t="shared" si="23"/>
        <v>19</v>
      </c>
      <c r="D25" s="35">
        <f t="shared" si="23"/>
        <v>24</v>
      </c>
      <c r="E25" s="35">
        <f t="shared" si="23"/>
        <v>4</v>
      </c>
      <c r="F25" s="35">
        <f t="shared" si="23"/>
        <v>7</v>
      </c>
      <c r="G25" s="35">
        <f t="shared" si="23"/>
        <v>13</v>
      </c>
      <c r="H25" s="35">
        <f t="shared" si="23"/>
        <v>19</v>
      </c>
      <c r="I25" s="35">
        <f t="shared" si="23"/>
        <v>22</v>
      </c>
      <c r="J25" s="35">
        <f t="shared" si="23"/>
        <v>-3</v>
      </c>
      <c r="K25" s="6"/>
      <c r="L25" s="6"/>
      <c r="M25" s="6"/>
      <c r="N25" s="6"/>
      <c r="O25" s="6"/>
      <c r="P25" s="6"/>
      <c r="Q25" s="6"/>
      <c r="R25" s="6"/>
      <c r="S25" s="6"/>
      <c r="T25" s="7"/>
      <c r="U25" s="7"/>
      <c r="V25" s="7"/>
      <c r="W25" s="7"/>
      <c r="X25" s="7"/>
      <c r="Y25" s="7"/>
      <c r="Z25" s="7"/>
      <c r="AA25" s="7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7"/>
      <c r="U26" s="7"/>
      <c r="V26" s="7"/>
      <c r="W26" s="7"/>
      <c r="X26" s="7"/>
      <c r="Y26" s="7"/>
      <c r="Z26" s="7"/>
      <c r="AA26" s="7"/>
    </row>
    <row r="27" hidden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6"/>
      <c r="L27" s="6"/>
      <c r="M27" s="6"/>
      <c r="N27" s="6"/>
      <c r="O27" s="6"/>
      <c r="P27" s="6"/>
      <c r="Q27" s="6"/>
      <c r="R27" s="6"/>
      <c r="S27" s="6"/>
      <c r="T27" s="7"/>
      <c r="U27" s="7"/>
      <c r="V27" s="7"/>
      <c r="W27" s="7"/>
      <c r="X27" s="7"/>
      <c r="Y27" s="7"/>
      <c r="Z27" s="7"/>
      <c r="AA27" s="7"/>
    </row>
    <row r="28" hidden="1">
      <c r="A28" s="22" t="s">
        <v>26</v>
      </c>
      <c r="B28" s="23"/>
      <c r="C28" s="23"/>
      <c r="D28" s="23"/>
      <c r="E28" s="23"/>
      <c r="F28" s="23"/>
      <c r="G28" s="23"/>
      <c r="H28" s="23"/>
      <c r="I28" s="23"/>
      <c r="J28" s="24"/>
      <c r="K28" s="6"/>
      <c r="L28" s="6"/>
      <c r="M28" s="6"/>
      <c r="N28" s="6"/>
      <c r="O28" s="6"/>
      <c r="P28" s="6"/>
      <c r="Q28" s="6"/>
      <c r="R28" s="6"/>
      <c r="S28" s="6"/>
      <c r="T28" s="7"/>
      <c r="U28" s="7"/>
      <c r="V28" s="7"/>
      <c r="W28" s="7"/>
      <c r="X28" s="7"/>
      <c r="Y28" s="7"/>
      <c r="Z28" s="7"/>
      <c r="AA28" s="7"/>
    </row>
    <row r="29" hidden="1">
      <c r="A29" s="8" t="s">
        <v>5</v>
      </c>
      <c r="B29" s="10" t="s">
        <v>27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0" t="s">
        <v>14</v>
      </c>
      <c r="K29" s="6"/>
      <c r="L29" s="6"/>
      <c r="M29" s="6"/>
      <c r="N29" s="6"/>
      <c r="O29" s="6"/>
      <c r="P29" s="6"/>
      <c r="Q29" s="6"/>
      <c r="R29" s="6"/>
      <c r="S29" s="6"/>
      <c r="T29" s="7"/>
      <c r="U29" s="7"/>
      <c r="V29" s="7"/>
      <c r="W29" s="7"/>
      <c r="X29" s="7"/>
      <c r="Y29" s="7"/>
      <c r="Z29" s="7"/>
      <c r="AA29" s="7"/>
    </row>
    <row r="30" hidden="1">
      <c r="A30" s="15">
        <v>1.0</v>
      </c>
      <c r="B30" s="25" t="s">
        <v>58</v>
      </c>
      <c r="C30" s="26">
        <f t="shared" ref="C30:C39" si="24">E30*3+F30</f>
        <v>12</v>
      </c>
      <c r="D30" s="27">
        <f t="shared" ref="D30:D39" si="25">E30+F30+G30</f>
        <v>8</v>
      </c>
      <c r="E30" s="27">
        <f>COUNTIFS(L:L,B30,R:R,3)+COUNTIFS(O:O,B30,S:S,3)+2</f>
        <v>3</v>
      </c>
      <c r="F30" s="27">
        <f t="shared" ref="F30:F31" si="26">COUNTIFS(L:L,B30,R:R,1)+COUNTIFS(O:O,B30,S:S,1)+3</f>
        <v>3</v>
      </c>
      <c r="G30" s="27">
        <f>COUNTIFS(L:L,B30,R:R,0)+COUNTIFS(O:O,B30,S:S,0)+2</f>
        <v>2</v>
      </c>
      <c r="H30" s="27">
        <f>SUMIF(L:L,B30,M:M)+SUMIF(O:O,B30,N:N)+3</f>
        <v>5</v>
      </c>
      <c r="I30" s="27">
        <f>SUMIF(L:L,B30,N:N)+SUMIF(O:O,B30,M:M)+4</f>
        <v>5</v>
      </c>
      <c r="J30" s="27">
        <f t="shared" ref="J30:J39" si="27">H30-I30</f>
        <v>0</v>
      </c>
      <c r="K30" s="6">
        <f t="shared" ref="K30:K39" si="28">C30*100+J30+(H30/10)+(I30/100)+ROW()/1000</f>
        <v>1200.58</v>
      </c>
      <c r="L30" s="6">
        <f t="shared" ref="L30:L39" si="29">_xlfn.RANK.EQ(K30,$K$30:$K$39)</f>
        <v>4</v>
      </c>
      <c r="M30" s="6"/>
      <c r="N30" s="6"/>
      <c r="O30" s="6"/>
      <c r="P30" s="6"/>
      <c r="Q30" s="6"/>
      <c r="R30" s="6"/>
      <c r="S30" s="6"/>
      <c r="T30" s="7"/>
      <c r="U30" s="7"/>
      <c r="V30" s="7"/>
      <c r="W30" s="7"/>
      <c r="X30" s="7"/>
      <c r="Y30" s="7"/>
      <c r="Z30" s="7"/>
      <c r="AA30" s="7"/>
    </row>
    <row r="31" hidden="1">
      <c r="A31" s="32">
        <v>3.0</v>
      </c>
      <c r="B31" s="29" t="s">
        <v>52</v>
      </c>
      <c r="C31" s="30">
        <f t="shared" si="24"/>
        <v>6</v>
      </c>
      <c r="D31" s="31">
        <f t="shared" si="25"/>
        <v>8</v>
      </c>
      <c r="E31" s="31">
        <f>COUNTIFS(L:L,B31,R:R,3)+COUNTIFS(O:O,B31,S:S,3)+1</f>
        <v>1</v>
      </c>
      <c r="F31" s="31">
        <f t="shared" si="26"/>
        <v>3</v>
      </c>
      <c r="G31" s="31">
        <f>COUNTIFS(L:L,B31,R:R,0)+COUNTIFS(O:O,B31,S:S,0)+3</f>
        <v>4</v>
      </c>
      <c r="H31" s="31">
        <f>SUMIF(L:L,B31,M:M)+SUMIF(O:O,B31,N:N)+5</f>
        <v>6</v>
      </c>
      <c r="I31" s="31">
        <f>SUMIF(L:L,B31,N:N)+SUMIF(O:O,B31,M:M)+8</f>
        <v>10</v>
      </c>
      <c r="J31" s="31">
        <f t="shared" si="27"/>
        <v>-4</v>
      </c>
      <c r="K31" s="6">
        <f t="shared" si="28"/>
        <v>596.731</v>
      </c>
      <c r="L31" s="6">
        <f t="shared" si="29"/>
        <v>10</v>
      </c>
      <c r="M31" s="6"/>
      <c r="N31" s="6"/>
      <c r="O31" s="6"/>
      <c r="P31" s="6"/>
      <c r="Q31" s="6"/>
      <c r="R31" s="6"/>
      <c r="S31" s="6"/>
      <c r="T31" s="7"/>
      <c r="U31" s="7"/>
      <c r="V31" s="7"/>
      <c r="W31" s="7"/>
      <c r="X31" s="7"/>
      <c r="Y31" s="7"/>
      <c r="Z31" s="7"/>
      <c r="AA31" s="7"/>
    </row>
    <row r="32" hidden="1">
      <c r="A32" s="32">
        <v>3.0</v>
      </c>
      <c r="B32" s="29" t="s">
        <v>54</v>
      </c>
      <c r="C32" s="30">
        <f t="shared" si="24"/>
        <v>18</v>
      </c>
      <c r="D32" s="31">
        <f t="shared" si="25"/>
        <v>8</v>
      </c>
      <c r="E32" s="31">
        <f>COUNTIFS(L:L,B32,R:R,3)+COUNTIFS(O:O,B32,S:S,3)+5</f>
        <v>5</v>
      </c>
      <c r="F32" s="31">
        <f t="shared" ref="F32:F33" si="30">COUNTIFS(L:L,B32,R:R,1)+COUNTIFS(O:O,B32,S:S,1)+2</f>
        <v>3</v>
      </c>
      <c r="G32" s="31">
        <f>COUNTIFS(L:L,B32,R:R,0)+COUNTIFS(O:O,B32,S:S,0)</f>
        <v>0</v>
      </c>
      <c r="H32" s="31">
        <f>SUMIF(L:L,B32,M:M)+SUMIF(O:O,B32,N:N)+12</f>
        <v>13</v>
      </c>
      <c r="I32" s="31">
        <f>SUMIF(L:L,B32,N:N)+SUMIF(O:O,B32,M:M)+5</f>
        <v>6</v>
      </c>
      <c r="J32" s="31">
        <f t="shared" si="27"/>
        <v>7</v>
      </c>
      <c r="K32" s="6">
        <f t="shared" si="28"/>
        <v>1808.392</v>
      </c>
      <c r="L32" s="6">
        <f t="shared" si="29"/>
        <v>1</v>
      </c>
      <c r="M32" s="6"/>
      <c r="N32" s="6"/>
      <c r="O32" s="6"/>
      <c r="P32" s="6"/>
      <c r="Q32" s="6"/>
      <c r="R32" s="6"/>
      <c r="S32" s="6"/>
      <c r="T32" s="7"/>
      <c r="U32" s="7"/>
      <c r="V32" s="7"/>
      <c r="W32" s="7"/>
      <c r="X32" s="7"/>
      <c r="Y32" s="7"/>
      <c r="Z32" s="7"/>
      <c r="AA32" s="7"/>
    </row>
    <row r="33" hidden="1">
      <c r="A33" s="32">
        <v>4.0</v>
      </c>
      <c r="B33" s="29" t="s">
        <v>59</v>
      </c>
      <c r="C33" s="30">
        <f t="shared" si="24"/>
        <v>8</v>
      </c>
      <c r="D33" s="31">
        <f t="shared" si="25"/>
        <v>8</v>
      </c>
      <c r="E33" s="31">
        <f t="shared" ref="E33:E34" si="31">COUNTIFS(L:L,B33,R:R,3)+COUNTIFS(O:O,B33,S:S,3)+1</f>
        <v>2</v>
      </c>
      <c r="F33" s="31">
        <f t="shared" si="30"/>
        <v>2</v>
      </c>
      <c r="G33" s="31">
        <f>COUNTIFS(L:L,B33,R:R,0)+COUNTIFS(O:O,B33,S:S,0)+4</f>
        <v>4</v>
      </c>
      <c r="H33" s="31">
        <f>SUMIF(L:L,B33,M:M)+SUMIF(O:O,B33,N:N)+3</f>
        <v>4</v>
      </c>
      <c r="I33" s="31">
        <f>SUMIF(L:L,B33,N:N)+SUMIF(O:O,B33,M:M)+11</f>
        <v>11</v>
      </c>
      <c r="J33" s="31">
        <f t="shared" si="27"/>
        <v>-7</v>
      </c>
      <c r="K33" s="6">
        <f t="shared" si="28"/>
        <v>793.543</v>
      </c>
      <c r="L33" s="6">
        <f t="shared" si="29"/>
        <v>7</v>
      </c>
      <c r="M33" s="6"/>
      <c r="N33" s="6"/>
      <c r="O33" s="6"/>
      <c r="P33" s="6"/>
      <c r="Q33" s="6"/>
      <c r="R33" s="6"/>
      <c r="S33" s="6"/>
      <c r="T33" s="7"/>
      <c r="U33" s="7"/>
      <c r="V33" s="7"/>
      <c r="W33" s="7"/>
      <c r="X33" s="7"/>
      <c r="Y33" s="7"/>
      <c r="Z33" s="7"/>
      <c r="AA33" s="7"/>
    </row>
    <row r="34" hidden="1">
      <c r="A34" s="32">
        <v>5.0</v>
      </c>
      <c r="B34" s="29" t="s">
        <v>57</v>
      </c>
      <c r="C34" s="30">
        <f t="shared" si="24"/>
        <v>6</v>
      </c>
      <c r="D34" s="31">
        <f t="shared" si="25"/>
        <v>8</v>
      </c>
      <c r="E34" s="31">
        <f t="shared" si="31"/>
        <v>1</v>
      </c>
      <c r="F34" s="31">
        <f>COUNTIFS(L:L,B34,R:R,1)+COUNTIFS(O:O,B34,S:S,1)+3</f>
        <v>3</v>
      </c>
      <c r="G34" s="31">
        <f>COUNTIFS(L:L,B34,R:R,0)+COUNTIFS(O:O,B34,S:S,0)+3</f>
        <v>4</v>
      </c>
      <c r="H34" s="31">
        <f>SUMIF(L:L,B34,M:M)+SUMIF(O:O,B34,N:N)+10</f>
        <v>11</v>
      </c>
      <c r="I34" s="31">
        <f>SUMIF(L:L,B34,N:N)+SUMIF(O:O,B34,M:M)+9</f>
        <v>11</v>
      </c>
      <c r="J34" s="31">
        <f t="shared" si="27"/>
        <v>0</v>
      </c>
      <c r="K34" s="6">
        <f t="shared" si="28"/>
        <v>601.244</v>
      </c>
      <c r="L34" s="6">
        <f t="shared" si="29"/>
        <v>9</v>
      </c>
      <c r="M34" s="6"/>
      <c r="N34" s="6"/>
      <c r="O34" s="6"/>
      <c r="P34" s="6"/>
      <c r="Q34" s="6"/>
      <c r="R34" s="6"/>
      <c r="S34" s="6"/>
      <c r="T34" s="7"/>
      <c r="U34" s="7"/>
      <c r="V34" s="7"/>
      <c r="W34" s="7"/>
      <c r="X34" s="7"/>
      <c r="Y34" s="7"/>
      <c r="Z34" s="7"/>
      <c r="AA34" s="7"/>
    </row>
    <row r="35" hidden="1">
      <c r="A35" s="32">
        <v>6.0</v>
      </c>
      <c r="B35" s="29" t="s">
        <v>51</v>
      </c>
      <c r="C35" s="30">
        <f t="shared" si="24"/>
        <v>17</v>
      </c>
      <c r="D35" s="31">
        <f t="shared" si="25"/>
        <v>8</v>
      </c>
      <c r="E35" s="31">
        <f>COUNTIFS(L:L,B35,R:R,3)+COUNTIFS(O:O,B35,S:S,3)+4</f>
        <v>5</v>
      </c>
      <c r="F35" s="31">
        <f>COUNTIFS(L:L,B35,R:R,1)+COUNTIFS(O:O,B35,S:S,1)+2</f>
        <v>2</v>
      </c>
      <c r="G35" s="31">
        <f>COUNTIFS(L:L,B35,R:R,0)+COUNTIFS(O:O,B35,S:S,0)+1</f>
        <v>1</v>
      </c>
      <c r="H35" s="31">
        <f>SUMIF(L:L,B35,M:M)+SUMIF(O:O,B35,N:N)+9</f>
        <v>11</v>
      </c>
      <c r="I35" s="31">
        <f>SUMIF(L:L,B35,N:N)+SUMIF(O:O,B35,M:M)+7</f>
        <v>8</v>
      </c>
      <c r="J35" s="31">
        <f t="shared" si="27"/>
        <v>3</v>
      </c>
      <c r="K35" s="6">
        <f t="shared" si="28"/>
        <v>1704.215</v>
      </c>
      <c r="L35" s="6">
        <f t="shared" si="29"/>
        <v>2</v>
      </c>
      <c r="M35" s="6"/>
      <c r="N35" s="6"/>
      <c r="O35" s="6"/>
      <c r="P35" s="6"/>
      <c r="Q35" s="6"/>
      <c r="R35" s="6"/>
      <c r="S35" s="6"/>
      <c r="T35" s="7"/>
      <c r="U35" s="7"/>
      <c r="V35" s="7"/>
      <c r="W35" s="7"/>
      <c r="X35" s="7"/>
      <c r="Y35" s="7"/>
      <c r="Z35" s="7"/>
      <c r="AA35" s="7"/>
    </row>
    <row r="36" hidden="1">
      <c r="A36" s="28">
        <v>7.0</v>
      </c>
      <c r="B36" s="29" t="s">
        <v>56</v>
      </c>
      <c r="C36" s="30">
        <f t="shared" si="24"/>
        <v>9</v>
      </c>
      <c r="D36" s="31">
        <f t="shared" si="25"/>
        <v>8</v>
      </c>
      <c r="E36" s="31">
        <f t="shared" ref="E36:E37" si="32">COUNTIFS(L:L,B36,R:R,3)+COUNTIFS(O:O,B36,S:S,3)+3</f>
        <v>3</v>
      </c>
      <c r="F36" s="31">
        <f>COUNTIFS(L:L,B36,R:R,1)+COUNTIFS(O:O,B36,S:S,1)</f>
        <v>0</v>
      </c>
      <c r="G36" s="31">
        <f>COUNTIFS(L:L,B36,R:R,0)+COUNTIFS(O:O,B36,S:S,0)+4</f>
        <v>5</v>
      </c>
      <c r="H36" s="31">
        <f>SUMIF(L:L,B36,M:M)+SUMIF(O:O,B36,N:N)+5</f>
        <v>7</v>
      </c>
      <c r="I36" s="31">
        <f>SUMIF(L:L,B36,N:N)+SUMIF(O:O,B36,M:M)+5</f>
        <v>8</v>
      </c>
      <c r="J36" s="31">
        <f t="shared" si="27"/>
        <v>-1</v>
      </c>
      <c r="K36" s="6">
        <f t="shared" si="28"/>
        <v>899.816</v>
      </c>
      <c r="L36" s="6">
        <f t="shared" si="29"/>
        <v>6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hidden="1">
      <c r="A37" s="28">
        <v>8.0</v>
      </c>
      <c r="B37" s="29" t="s">
        <v>55</v>
      </c>
      <c r="C37" s="30">
        <f t="shared" si="24"/>
        <v>15</v>
      </c>
      <c r="D37" s="31">
        <f t="shared" si="25"/>
        <v>8</v>
      </c>
      <c r="E37" s="31">
        <f t="shared" si="32"/>
        <v>4</v>
      </c>
      <c r="F37" s="31">
        <f>COUNTIFS(L:L,B37,R:R,1)+COUNTIFS(O:O,B37,S:S,1)+3</f>
        <v>3</v>
      </c>
      <c r="G37" s="31">
        <f>COUNTIFS(L:L,B37,R:R,0)+COUNTIFS(O:O,B37,S:S,0)+1</f>
        <v>1</v>
      </c>
      <c r="H37" s="31">
        <f>SUMIF(L:L,B37,M:M)+SUMIF(O:O,B37,N:N)+13</f>
        <v>16</v>
      </c>
      <c r="I37" s="31">
        <f>SUMIF(L:L,B37,N:N)+SUMIF(O:O,B37,M:M)+7</f>
        <v>9</v>
      </c>
      <c r="J37" s="31">
        <f t="shared" si="27"/>
        <v>7</v>
      </c>
      <c r="K37" s="6">
        <f t="shared" si="28"/>
        <v>1508.727</v>
      </c>
      <c r="L37" s="6">
        <f t="shared" si="29"/>
        <v>3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hidden="1">
      <c r="A38" s="28">
        <v>9.0</v>
      </c>
      <c r="B38" s="29" t="s">
        <v>60</v>
      </c>
      <c r="C38" s="30">
        <f t="shared" si="24"/>
        <v>7</v>
      </c>
      <c r="D38" s="31">
        <f t="shared" si="25"/>
        <v>8</v>
      </c>
      <c r="E38" s="31">
        <f t="shared" ref="E38:E39" si="33">COUNTIFS(L:L,B38,R:R,3)+COUNTIFS(O:O,B38,S:S,3)+2</f>
        <v>2</v>
      </c>
      <c r="F38" s="31">
        <f>COUNTIFS(L:L,B38,R:R,1)+COUNTIFS(O:O,B38,S:S,1)+1</f>
        <v>1</v>
      </c>
      <c r="G38" s="31">
        <f>COUNTIFS(L:L,B38,R:R,0)+COUNTIFS(O:O,B38,S:S,0)+4</f>
        <v>5</v>
      </c>
      <c r="H38" s="31">
        <f>SUMIF(L:L,B38,M:M)+SUMIF(O:O,B38,N:N)+6</f>
        <v>6</v>
      </c>
      <c r="I38" s="31">
        <f>SUMIF(L:L,B38,N:N)+SUMIF(O:O,B38,M:M)+9</f>
        <v>10</v>
      </c>
      <c r="J38" s="31">
        <f t="shared" si="27"/>
        <v>-4</v>
      </c>
      <c r="K38" s="6">
        <f t="shared" si="28"/>
        <v>696.738</v>
      </c>
      <c r="L38" s="6">
        <f t="shared" si="29"/>
        <v>8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hidden="1">
      <c r="A39" s="28">
        <v>10.0</v>
      </c>
      <c r="B39" s="29" t="s">
        <v>53</v>
      </c>
      <c r="C39" s="30">
        <f t="shared" si="24"/>
        <v>10</v>
      </c>
      <c r="D39" s="31">
        <f t="shared" si="25"/>
        <v>8</v>
      </c>
      <c r="E39" s="27">
        <f t="shared" si="33"/>
        <v>2</v>
      </c>
      <c r="F39" s="27">
        <f>COUNTIFS(L:L,B39,R:R,1)+COUNTIFS(O:O,B39,S:S,1)+3</f>
        <v>4</v>
      </c>
      <c r="G39" s="27">
        <f>COUNTIFS(L:L,B39,R:R,0)+COUNTIFS(O:O,B39,S:S,0)+2</f>
        <v>2</v>
      </c>
      <c r="H39" s="31">
        <f>SUMIF(L:L,B39,M:M)+SUMIF(O:O,B39,N:N)+4</f>
        <v>5</v>
      </c>
      <c r="I39" s="31">
        <f>SUMIF(L:L,B39,N:N)+SUMIF(O:O,B39,M:M)+5</f>
        <v>6</v>
      </c>
      <c r="J39" s="31">
        <f t="shared" si="27"/>
        <v>-1</v>
      </c>
      <c r="K39" s="6">
        <f t="shared" si="28"/>
        <v>999.599</v>
      </c>
      <c r="L39" s="6">
        <f t="shared" si="29"/>
        <v>5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hidden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hidden="1">
      <c r="A41" s="36" t="s">
        <v>26</v>
      </c>
      <c r="B41" s="2"/>
      <c r="C41" s="2"/>
      <c r="D41" s="2"/>
      <c r="E41" s="2"/>
      <c r="F41" s="2"/>
      <c r="G41" s="2"/>
      <c r="H41" s="2"/>
      <c r="I41" s="2"/>
      <c r="J41" s="3"/>
      <c r="K41" s="6"/>
      <c r="L41" s="6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hidden="1">
      <c r="A42" s="8" t="s">
        <v>5</v>
      </c>
      <c r="B42" s="10" t="s">
        <v>27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0" t="s">
        <v>14</v>
      </c>
      <c r="K42" s="6"/>
      <c r="L42" s="6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hidden="1">
      <c r="A43" s="15">
        <v>1.0</v>
      </c>
      <c r="B43" s="25" t="s">
        <v>58</v>
      </c>
      <c r="C43" s="26">
        <f t="shared" ref="C43:C52" si="34">E43*3+F43</f>
        <v>24</v>
      </c>
      <c r="D43" s="27">
        <f t="shared" ref="D43:D52" si="35">E43+F43+G43</f>
        <v>24</v>
      </c>
      <c r="E43" s="27">
        <f t="shared" ref="E43:E44" si="36">COUNTIFS(L:L,B43,R:R,3)+COUNTIFS(O:O,B43,S:S,3)+4</f>
        <v>5</v>
      </c>
      <c r="F43" s="27">
        <f>COUNTIFS(L:L,B43,R:R,1)+COUNTIFS(O:O,B43,S:S,1)+9</f>
        <v>9</v>
      </c>
      <c r="G43" s="27">
        <f>COUNTIFS(L:L,B43,R:R,0)+COUNTIFS(O:O,B43,S:S,0)+10</f>
        <v>10</v>
      </c>
      <c r="H43" s="27">
        <f>SUMIF(L:L,B43,M:M)+SUMIF(O:O,B43,N:N)+15</f>
        <v>17</v>
      </c>
      <c r="I43" s="27">
        <f>SUMIF(L:L,B43,N:N)+SUMIF(O:O,B43,M:M)+38</f>
        <v>39</v>
      </c>
      <c r="J43" s="27">
        <f t="shared" ref="J43:J52" si="37">H43-I43</f>
        <v>-22</v>
      </c>
      <c r="K43" s="6">
        <f t="shared" ref="K43:K52" si="38">C43*100+J43+(H43/10)+(I43/100)+ROW()/1000</f>
        <v>2380.133</v>
      </c>
      <c r="L43" s="6">
        <f t="shared" ref="L43:L52" si="39">_xlfn.RANK.EQ(K43,$K$43:$K$52)</f>
        <v>6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hidden="1">
      <c r="A44" s="32">
        <v>3.0</v>
      </c>
      <c r="B44" s="29" t="s">
        <v>52</v>
      </c>
      <c r="C44" s="30">
        <f t="shared" si="34"/>
        <v>19</v>
      </c>
      <c r="D44" s="31">
        <f t="shared" si="35"/>
        <v>24</v>
      </c>
      <c r="E44" s="31">
        <f t="shared" si="36"/>
        <v>4</v>
      </c>
      <c r="F44" s="31">
        <f>COUNTIFS(L:L,B44,R:R,1)+COUNTIFS(O:O,B44,S:S,1)+7</f>
        <v>7</v>
      </c>
      <c r="G44" s="31">
        <f>COUNTIFS(L:L,B44,R:R,0)+COUNTIFS(O:O,B44,S:S,0)+12</f>
        <v>13</v>
      </c>
      <c r="H44" s="31">
        <f>SUMIF(L:L,B44,M:M)+SUMIF(O:O,B44,N:N)+18</f>
        <v>19</v>
      </c>
      <c r="I44" s="31">
        <f>SUMIF(L:L,B44,N:N)+SUMIF(O:O,B44,M:M)+20</f>
        <v>22</v>
      </c>
      <c r="J44" s="31">
        <f t="shared" si="37"/>
        <v>-3</v>
      </c>
      <c r="K44" s="6">
        <f t="shared" si="38"/>
        <v>1899.164</v>
      </c>
      <c r="L44" s="6">
        <f t="shared" si="39"/>
        <v>10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hidden="1">
      <c r="A45" s="32">
        <v>3.0</v>
      </c>
      <c r="B45" s="29" t="s">
        <v>54</v>
      </c>
      <c r="C45" s="30">
        <f t="shared" si="34"/>
        <v>37</v>
      </c>
      <c r="D45" s="31">
        <f t="shared" si="35"/>
        <v>24</v>
      </c>
      <c r="E45" s="31">
        <f>COUNTIFS(L:L,B45,R:R,3)+COUNTIFS(O:O,B45,S:S,3)+9</f>
        <v>9</v>
      </c>
      <c r="F45" s="31">
        <f>COUNTIFS(L:L,B45,R:R,1)+COUNTIFS(O:O,B45,S:S,1)+9</f>
        <v>10</v>
      </c>
      <c r="G45" s="31">
        <f>COUNTIFS(L:L,B45,R:R,0)+COUNTIFS(O:O,B45,S:S,0)+5</f>
        <v>5</v>
      </c>
      <c r="H45" s="31">
        <f>SUMIF(L:L,B45,M:M)+SUMIF(O:O,B45,N:N)+26</f>
        <v>27</v>
      </c>
      <c r="I45" s="31">
        <f>SUMIF(L:L,B45,N:N)+SUMIF(O:O,B45,M:M)+18</f>
        <v>19</v>
      </c>
      <c r="J45" s="31">
        <f t="shared" si="37"/>
        <v>8</v>
      </c>
      <c r="K45" s="6">
        <f t="shared" si="38"/>
        <v>3710.935</v>
      </c>
      <c r="L45" s="6">
        <f t="shared" si="39"/>
        <v>1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hidden="1">
      <c r="A46" s="32">
        <v>4.0</v>
      </c>
      <c r="B46" s="29" t="s">
        <v>59</v>
      </c>
      <c r="C46" s="30">
        <f t="shared" si="34"/>
        <v>23</v>
      </c>
      <c r="D46" s="31">
        <f t="shared" si="35"/>
        <v>24</v>
      </c>
      <c r="E46" s="31">
        <f>COUNTIFS(L:L,B46,R:R,3)+COUNTIFS(O:O,B46,S:S,3)+4</f>
        <v>5</v>
      </c>
      <c r="F46" s="31">
        <f>COUNTIFS(L:L,B46,R:R,1)+COUNTIFS(O:O,B46,S:S,1)+8</f>
        <v>8</v>
      </c>
      <c r="G46" s="31">
        <f t="shared" ref="G46:G47" si="40">COUNTIFS(L:L,B46,R:R,0)+COUNTIFS(O:O,B46,S:S,0)+11</f>
        <v>11</v>
      </c>
      <c r="H46" s="31">
        <f>SUMIF(L:L,B46,M:M)+SUMIF(O:O,B46,N:N)+14</f>
        <v>15</v>
      </c>
      <c r="I46" s="31">
        <f>SUMIF(L:L,B46,N:N)+SUMIF(O:O,B46,M:M)+28</f>
        <v>28</v>
      </c>
      <c r="J46" s="31">
        <f t="shared" si="37"/>
        <v>-13</v>
      </c>
      <c r="K46" s="6">
        <f t="shared" si="38"/>
        <v>2288.826</v>
      </c>
      <c r="L46" s="6">
        <f t="shared" si="39"/>
        <v>7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hidden="1">
      <c r="A47" s="32">
        <v>5.0</v>
      </c>
      <c r="B47" s="29" t="s">
        <v>57</v>
      </c>
      <c r="C47" s="30">
        <f t="shared" si="34"/>
        <v>22</v>
      </c>
      <c r="D47" s="31">
        <f t="shared" si="35"/>
        <v>24</v>
      </c>
      <c r="E47" s="31">
        <f>COUNTIFS(L:L,B47,R:R,3)+COUNTIFS(O:O,B47,S:S,3)+5</f>
        <v>5</v>
      </c>
      <c r="F47" s="31">
        <f t="shared" ref="F47:F48" si="41">COUNTIFS(L:L,B47,R:R,1)+COUNTIFS(O:O,B47,S:S,1)+7</f>
        <v>7</v>
      </c>
      <c r="G47" s="31">
        <f t="shared" si="40"/>
        <v>12</v>
      </c>
      <c r="H47" s="31">
        <f>SUMIF(L:L,B47,M:M)+SUMIF(O:O,B47,N:N)+21</f>
        <v>22</v>
      </c>
      <c r="I47" s="31">
        <f>SUMIF(L:L,B47,N:N)+SUMIF(O:O,B47,M:M)+33</f>
        <v>35</v>
      </c>
      <c r="J47" s="31">
        <f t="shared" si="37"/>
        <v>-13</v>
      </c>
      <c r="K47" s="6">
        <f t="shared" si="38"/>
        <v>2189.597</v>
      </c>
      <c r="L47" s="6">
        <f t="shared" si="39"/>
        <v>8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hidden="1">
      <c r="A48" s="32">
        <v>6.0</v>
      </c>
      <c r="B48" s="29" t="s">
        <v>51</v>
      </c>
      <c r="C48" s="30">
        <f t="shared" si="34"/>
        <v>31</v>
      </c>
      <c r="D48" s="31">
        <f t="shared" si="35"/>
        <v>24</v>
      </c>
      <c r="E48" s="31">
        <f>COUNTIFS(L:L,B48,R:R,3)+COUNTIFS(O:O,B48,S:S,3)+7</f>
        <v>8</v>
      </c>
      <c r="F48" s="31">
        <f t="shared" si="41"/>
        <v>7</v>
      </c>
      <c r="G48" s="31">
        <f>COUNTIFS(L:L,B48,R:R,0)+COUNTIFS(O:O,B48,S:S,0)+9</f>
        <v>9</v>
      </c>
      <c r="H48" s="31">
        <f>SUMIF(L:L,B48,M:M)+SUMIF(O:O,B48,N:N)+22</f>
        <v>24</v>
      </c>
      <c r="I48" s="31">
        <f>SUMIF(L:L,B48,N:N)+SUMIF(O:O,B48,M:M)+26</f>
        <v>27</v>
      </c>
      <c r="J48" s="31">
        <f t="shared" si="37"/>
        <v>-3</v>
      </c>
      <c r="K48" s="6">
        <f t="shared" si="38"/>
        <v>3099.718</v>
      </c>
      <c r="L48" s="6">
        <f t="shared" si="39"/>
        <v>4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hidden="1">
      <c r="A49" s="28">
        <v>7.0</v>
      </c>
      <c r="B49" s="29" t="s">
        <v>56</v>
      </c>
      <c r="C49" s="30">
        <f t="shared" si="34"/>
        <v>20</v>
      </c>
      <c r="D49" s="31">
        <f t="shared" si="35"/>
        <v>24</v>
      </c>
      <c r="E49" s="31">
        <f>COUNTIFS(L:L,B49,R:R,3)+COUNTIFS(O:O,B49,S:S,3)+5</f>
        <v>5</v>
      </c>
      <c r="F49" s="31">
        <f>COUNTIFS(L:L,B49,R:R,1)+COUNTIFS(O:O,B49,S:S,1)+5</f>
        <v>5</v>
      </c>
      <c r="G49" s="31">
        <f>COUNTIFS(L:L,B49,R:R,0)+COUNTIFS(O:O,B49,S:S,0)+13</f>
        <v>14</v>
      </c>
      <c r="H49" s="31">
        <f>SUMIF(L:L,B49,M:M)+SUMIF(O:O,B49,N:N)+14</f>
        <v>16</v>
      </c>
      <c r="I49" s="31">
        <f>SUMIF(L:L,B49,N:N)+SUMIF(O:O,B49,M:M)+28</f>
        <v>31</v>
      </c>
      <c r="J49" s="31">
        <f t="shared" si="37"/>
        <v>-15</v>
      </c>
      <c r="K49" s="6">
        <f t="shared" si="38"/>
        <v>1986.959</v>
      </c>
      <c r="L49" s="6">
        <f t="shared" si="39"/>
        <v>9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hidden="1">
      <c r="A50" s="28">
        <v>8.0</v>
      </c>
      <c r="B50" s="29" t="s">
        <v>55</v>
      </c>
      <c r="C50" s="30">
        <f t="shared" si="34"/>
        <v>34</v>
      </c>
      <c r="D50" s="31">
        <f t="shared" si="35"/>
        <v>24</v>
      </c>
      <c r="E50" s="31">
        <f t="shared" ref="E50:E51" si="42">COUNTIFS(L:L,B50,R:R,3)+COUNTIFS(O:O,B50,S:S,3)+7</f>
        <v>8</v>
      </c>
      <c r="F50" s="31">
        <f>COUNTIFS(L:L,B50,R:R,1)+COUNTIFS(O:O,B50,S:S,1)+10</f>
        <v>10</v>
      </c>
      <c r="G50" s="31">
        <f>COUNTIFS(L:L,B50,R:R,0)+COUNTIFS(O:O,B50,S:S,0)+6</f>
        <v>6</v>
      </c>
      <c r="H50" s="31">
        <f>SUMIF(L:L,B50,M:M)+SUMIF(O:O,B50,N:N)+26</f>
        <v>29</v>
      </c>
      <c r="I50" s="31">
        <f>SUMIF(L:L,B50,N:N)+SUMIF(O:O,B50,M:M)+20</f>
        <v>22</v>
      </c>
      <c r="J50" s="31">
        <f t="shared" si="37"/>
        <v>7</v>
      </c>
      <c r="K50" s="6">
        <f t="shared" si="38"/>
        <v>3410.17</v>
      </c>
      <c r="L50" s="6">
        <f t="shared" si="39"/>
        <v>2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hidden="1">
      <c r="A51" s="28">
        <v>9.0</v>
      </c>
      <c r="B51" s="29" t="s">
        <v>60</v>
      </c>
      <c r="C51" s="30">
        <f t="shared" si="34"/>
        <v>26</v>
      </c>
      <c r="D51" s="31">
        <f t="shared" si="35"/>
        <v>24</v>
      </c>
      <c r="E51" s="31">
        <f t="shared" si="42"/>
        <v>7</v>
      </c>
      <c r="F51" s="31">
        <f>COUNTIFS(L:L,B51,R:R,1)+COUNTIFS(O:O,B51,S:S,1)+5</f>
        <v>5</v>
      </c>
      <c r="G51" s="31">
        <f>COUNTIFS(L:L,B51,R:R,0)+COUNTIFS(O:O,B51,S:S,0)+11</f>
        <v>12</v>
      </c>
      <c r="H51" s="31">
        <f>SUMIF(L:L,B51,M:M)+SUMIF(O:O,B51,N:N)+20</f>
        <v>20</v>
      </c>
      <c r="I51" s="31">
        <f>SUMIF(L:L,B51,N:N)+SUMIF(O:O,B51,M:M)+26</f>
        <v>27</v>
      </c>
      <c r="J51" s="31">
        <f t="shared" si="37"/>
        <v>-7</v>
      </c>
      <c r="K51" s="6">
        <f t="shared" si="38"/>
        <v>2595.321</v>
      </c>
      <c r="L51" s="6">
        <f t="shared" si="39"/>
        <v>5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hidden="1">
      <c r="A52" s="28">
        <v>10.0</v>
      </c>
      <c r="B52" s="29" t="s">
        <v>53</v>
      </c>
      <c r="C52" s="30">
        <f t="shared" si="34"/>
        <v>32</v>
      </c>
      <c r="D52" s="31">
        <f t="shared" si="35"/>
        <v>24</v>
      </c>
      <c r="E52" s="31">
        <f>COUNTIFS(L:L,B52,R:R,3)+COUNTIFS(O:O,B52,S:S,3)+8</f>
        <v>8</v>
      </c>
      <c r="F52" s="31">
        <f>COUNTIFS(L:L,B52,R:R,1)+COUNTIFS(O:O,B52,S:S,1)+7</f>
        <v>8</v>
      </c>
      <c r="G52" s="31">
        <f>COUNTIFS(L:L,B52,R:R,0)+COUNTIFS(O:O,B52,S:S,0)+8</f>
        <v>8</v>
      </c>
      <c r="H52" s="31">
        <f>SUMIF(L:L,B52,M:M)+SUMIF(O:O,B52,N:N)+17</f>
        <v>18</v>
      </c>
      <c r="I52" s="31">
        <f>SUMIF(L:L,B52,N:N)+SUMIF(O:O,B52,M:M)+17</f>
        <v>18</v>
      </c>
      <c r="J52" s="31">
        <f t="shared" si="37"/>
        <v>0</v>
      </c>
      <c r="K52" s="6">
        <f t="shared" si="38"/>
        <v>3202.032</v>
      </c>
      <c r="L52" s="6">
        <f t="shared" si="39"/>
        <v>3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hidden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</sheetData>
  <mergeCells count="6">
    <mergeCell ref="A1:J1"/>
    <mergeCell ref="L1:O1"/>
    <mergeCell ref="L8:O8"/>
    <mergeCell ref="A14:J14"/>
    <mergeCell ref="A28:J28"/>
    <mergeCell ref="A41:J41"/>
  </mergeCells>
  <hyperlinks>
    <hyperlink r:id="rId1" ref="A1"/>
    <hyperlink r:id="rId2" ref="V13"/>
  </hyperlin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3" width="17.5"/>
    <col customWidth="1" min="4" max="4" width="3.0"/>
    <col customWidth="1" min="5" max="5" width="3.38"/>
    <col customWidth="1" min="6" max="7" width="3.25"/>
    <col customWidth="1" min="8" max="8" width="3.38"/>
    <col customWidth="1" min="9" max="9" width="3.5"/>
    <col customWidth="1" min="10" max="10" width="3.25"/>
    <col customWidth="1" hidden="1" min="11" max="11" width="2.88"/>
    <col customWidth="1" min="12" max="12" width="2.88"/>
    <col customWidth="1" min="13" max="13" width="2.25"/>
    <col customWidth="1" min="14" max="14" width="2.13"/>
    <col customWidth="1" min="15" max="15" width="15.25"/>
    <col customWidth="1" min="16" max="16" width="0.75"/>
    <col customWidth="1" min="17" max="17" width="1.88"/>
    <col customWidth="1" min="18" max="18" width="3.0"/>
    <col customWidth="1" min="19" max="19" width="3.25"/>
    <col customWidth="1" min="20" max="20" width="2.13"/>
  </cols>
  <sheetData>
    <row r="1">
      <c r="A1" s="38" t="s">
        <v>61</v>
      </c>
      <c r="B1" s="2"/>
      <c r="C1" s="2"/>
      <c r="D1" s="3"/>
      <c r="E1" s="6"/>
      <c r="F1" s="6"/>
      <c r="G1" s="6"/>
      <c r="H1" s="6"/>
      <c r="I1" s="6"/>
      <c r="J1" s="6"/>
      <c r="K1" s="6"/>
      <c r="L1" s="39"/>
      <c r="M1" s="39"/>
      <c r="N1" s="39"/>
      <c r="O1" s="39"/>
      <c r="P1" s="6"/>
      <c r="Q1" s="6"/>
      <c r="R1" s="6"/>
      <c r="S1" s="6"/>
      <c r="T1" s="7"/>
      <c r="U1" s="7"/>
      <c r="V1" s="7"/>
      <c r="W1" s="7"/>
      <c r="X1" s="7"/>
      <c r="Y1" s="7"/>
      <c r="Z1" s="7"/>
      <c r="AA1" s="7"/>
    </row>
    <row r="2">
      <c r="A2" s="40">
        <v>1.0</v>
      </c>
      <c r="B2" s="41" t="str">
        <f t="shared" ref="B2:B14" si="1">INDEX(B$19:B$53,MATCH($A2,$L$19:$L$53,0))</f>
        <v>Sp. Belgrano (SF)</v>
      </c>
      <c r="C2" s="42" t="str">
        <f t="shared" ref="C2:C14" si="2">INDEX(B$19:B$53,MATCH($D2,$L$19:$L$53,0))</f>
        <v>Gimnasia (CdU)</v>
      </c>
      <c r="D2" s="40">
        <v>26.0</v>
      </c>
      <c r="E2" s="6"/>
      <c r="F2" s="6"/>
      <c r="G2" s="6"/>
      <c r="H2" s="6"/>
      <c r="I2" s="6"/>
      <c r="J2" s="6"/>
      <c r="K2" s="6"/>
      <c r="L2" s="39"/>
      <c r="M2" s="39"/>
      <c r="N2" s="39"/>
      <c r="O2" s="39"/>
      <c r="P2" s="6"/>
      <c r="Q2" s="6"/>
      <c r="R2" s="6"/>
      <c r="S2" s="6"/>
      <c r="T2" s="7"/>
      <c r="U2" s="7"/>
      <c r="V2" s="7"/>
      <c r="W2" s="7"/>
      <c r="X2" s="7"/>
      <c r="Y2" s="7"/>
      <c r="Z2" s="7"/>
      <c r="AA2" s="7"/>
    </row>
    <row r="3">
      <c r="A3" s="43">
        <v>2.0</v>
      </c>
      <c r="B3" s="44" t="str">
        <f t="shared" si="1"/>
        <v>Argentino (MM)</v>
      </c>
      <c r="C3" s="45" t="str">
        <f t="shared" si="2"/>
        <v>Ferro (GP)</v>
      </c>
      <c r="D3" s="43">
        <v>25.0</v>
      </c>
      <c r="E3" s="6"/>
      <c r="F3" s="6"/>
      <c r="G3" s="6"/>
      <c r="H3" s="6"/>
      <c r="I3" s="6"/>
      <c r="J3" s="6"/>
      <c r="K3" s="6"/>
      <c r="L3" s="39"/>
      <c r="M3" s="39"/>
      <c r="N3" s="39"/>
      <c r="O3" s="39"/>
      <c r="P3" s="6"/>
      <c r="R3" s="6"/>
      <c r="S3" s="6"/>
      <c r="T3" s="7"/>
      <c r="U3" s="7"/>
      <c r="V3" s="7"/>
      <c r="W3" s="7"/>
      <c r="X3" s="7"/>
      <c r="Y3" s="7"/>
      <c r="Z3" s="7"/>
      <c r="AA3" s="7"/>
    </row>
    <row r="4">
      <c r="A4" s="43">
        <v>3.0</v>
      </c>
      <c r="B4" s="44" t="str">
        <f t="shared" si="1"/>
        <v>Kimberley (MdP)</v>
      </c>
      <c r="C4" s="45" t="str">
        <f t="shared" si="2"/>
        <v>El Linqueño</v>
      </c>
      <c r="D4" s="43">
        <v>24.0</v>
      </c>
      <c r="E4" s="6"/>
      <c r="F4" s="6"/>
      <c r="G4" s="6"/>
      <c r="H4" s="6"/>
      <c r="I4" s="6"/>
      <c r="J4" s="6"/>
      <c r="K4" s="6"/>
      <c r="L4" s="39"/>
      <c r="M4" s="39"/>
      <c r="N4" s="39"/>
      <c r="O4" s="39"/>
      <c r="P4" s="6"/>
      <c r="R4" s="6"/>
      <c r="S4" s="6"/>
      <c r="T4" s="7"/>
      <c r="U4" s="7"/>
      <c r="V4" s="7"/>
      <c r="W4" s="7"/>
      <c r="X4" s="7"/>
      <c r="Y4" s="7"/>
      <c r="Z4" s="7"/>
      <c r="AA4" s="7"/>
    </row>
    <row r="5">
      <c r="A5" s="43">
        <v>4.0</v>
      </c>
      <c r="B5" s="44" t="str">
        <f t="shared" si="1"/>
        <v>San Martín (F)</v>
      </c>
      <c r="C5" s="45" t="str">
        <f t="shared" si="2"/>
        <v>Huracán (LH)</v>
      </c>
      <c r="D5" s="43">
        <v>23.0</v>
      </c>
      <c r="E5" s="6"/>
      <c r="F5" s="6"/>
      <c r="G5" s="6"/>
      <c r="H5" s="6"/>
      <c r="I5" s="6"/>
      <c r="J5" s="6"/>
      <c r="K5" s="6"/>
      <c r="L5" s="39"/>
      <c r="M5" s="39"/>
      <c r="N5" s="39"/>
      <c r="O5" s="39"/>
      <c r="P5" s="6"/>
      <c r="R5" s="6"/>
      <c r="S5" s="6"/>
      <c r="T5" s="7"/>
      <c r="U5" s="7"/>
      <c r="V5" s="7"/>
      <c r="W5" s="7"/>
      <c r="X5" s="7"/>
      <c r="Y5" s="7"/>
      <c r="Z5" s="7"/>
      <c r="AA5" s="7"/>
    </row>
    <row r="6">
      <c r="A6" s="43">
        <v>5.0</v>
      </c>
      <c r="B6" s="44" t="str">
        <f t="shared" si="1"/>
        <v>Santamarina</v>
      </c>
      <c r="C6" s="45" t="str">
        <f t="shared" si="2"/>
        <v>Sarmiento (R)</v>
      </c>
      <c r="D6" s="43">
        <v>22.0</v>
      </c>
      <c r="E6" s="6"/>
      <c r="F6" s="6"/>
      <c r="G6" s="6"/>
      <c r="H6" s="6"/>
      <c r="I6" s="6"/>
      <c r="J6" s="6"/>
      <c r="K6" s="6"/>
      <c r="L6" s="39"/>
      <c r="M6" s="39"/>
      <c r="N6" s="39"/>
      <c r="O6" s="39"/>
      <c r="P6" s="6"/>
      <c r="R6" s="6"/>
      <c r="S6" s="6"/>
      <c r="T6" s="7"/>
      <c r="U6" s="7"/>
      <c r="V6" s="18"/>
      <c r="W6" s="7"/>
      <c r="X6" s="7"/>
      <c r="Y6" s="7"/>
      <c r="Z6" s="7"/>
      <c r="AA6" s="7"/>
    </row>
    <row r="7">
      <c r="A7" s="43">
        <v>6.0</v>
      </c>
      <c r="B7" s="44" t="str">
        <f t="shared" si="1"/>
        <v>Sp. Las Parejas</v>
      </c>
      <c r="C7" s="45" t="str">
        <f t="shared" si="2"/>
        <v>Cipolletti</v>
      </c>
      <c r="D7" s="43">
        <v>21.0</v>
      </c>
      <c r="E7" s="6"/>
      <c r="F7" s="6"/>
      <c r="G7" s="6"/>
      <c r="H7" s="6"/>
      <c r="I7" s="6"/>
      <c r="J7" s="6"/>
      <c r="K7" s="6"/>
      <c r="L7" s="39"/>
      <c r="M7" s="39"/>
      <c r="N7" s="39"/>
      <c r="O7" s="39"/>
      <c r="R7" s="6"/>
      <c r="S7" s="6"/>
      <c r="T7" s="7"/>
      <c r="U7" s="7"/>
      <c r="V7" s="18"/>
      <c r="W7" s="7"/>
      <c r="X7" s="7"/>
      <c r="Y7" s="7"/>
      <c r="Z7" s="7"/>
      <c r="AA7" s="7"/>
    </row>
    <row r="8">
      <c r="A8" s="43">
        <v>7.0</v>
      </c>
      <c r="B8" s="44" t="str">
        <f t="shared" si="1"/>
        <v>Sol de América (F)</v>
      </c>
      <c r="C8" s="45" t="str">
        <f t="shared" si="2"/>
        <v>Juv. Unida (SL)</v>
      </c>
      <c r="D8" s="43">
        <v>20.0</v>
      </c>
      <c r="E8" s="6"/>
      <c r="F8" s="6"/>
      <c r="G8" s="6"/>
      <c r="H8" s="6"/>
      <c r="I8" s="6"/>
      <c r="J8" s="6"/>
      <c r="K8" s="6"/>
      <c r="L8" s="39"/>
      <c r="M8" s="39"/>
      <c r="N8" s="39"/>
      <c r="O8" s="39"/>
      <c r="R8" s="6"/>
      <c r="S8" s="6"/>
      <c r="T8" s="7"/>
      <c r="U8" s="7"/>
      <c r="W8" s="7"/>
      <c r="X8" s="7"/>
      <c r="Y8" s="7"/>
      <c r="Z8" s="7"/>
      <c r="AA8" s="7"/>
    </row>
    <row r="9">
      <c r="A9" s="43">
        <v>8.0</v>
      </c>
      <c r="B9" s="44" t="str">
        <f t="shared" si="1"/>
        <v>Gutiérrez (M)</v>
      </c>
      <c r="C9" s="45" t="str">
        <f t="shared" si="2"/>
        <v>Independiente (Ch)</v>
      </c>
      <c r="D9" s="43">
        <v>19.0</v>
      </c>
      <c r="E9" s="6"/>
      <c r="F9" s="6"/>
      <c r="G9" s="6"/>
      <c r="H9" s="6"/>
      <c r="I9" s="6"/>
      <c r="J9" s="6"/>
      <c r="K9" s="6"/>
      <c r="L9" s="39"/>
      <c r="M9" s="39"/>
      <c r="N9" s="39"/>
      <c r="O9" s="39"/>
      <c r="R9" s="6"/>
      <c r="S9" s="6"/>
      <c r="T9" s="7"/>
      <c r="U9" s="7"/>
      <c r="V9" s="18"/>
      <c r="W9" s="7"/>
      <c r="X9" s="7"/>
      <c r="Y9" s="7"/>
      <c r="Z9" s="7"/>
      <c r="AA9" s="7"/>
    </row>
    <row r="10">
      <c r="A10" s="46">
        <v>9.0</v>
      </c>
      <c r="B10" s="44" t="str">
        <f t="shared" si="1"/>
        <v>Atenas (RC)</v>
      </c>
      <c r="C10" s="45" t="str">
        <f t="shared" si="2"/>
        <v>Estudiantes (SL)</v>
      </c>
      <c r="D10" s="46">
        <v>18.0</v>
      </c>
      <c r="E10" s="7"/>
      <c r="K10" s="6"/>
      <c r="L10" s="39"/>
      <c r="M10" s="39"/>
      <c r="N10" s="39"/>
      <c r="O10" s="39"/>
      <c r="R10" s="6"/>
      <c r="S10" s="6"/>
      <c r="V10" s="18"/>
      <c r="W10" s="7"/>
      <c r="X10" s="7"/>
      <c r="Y10" s="7"/>
      <c r="Z10" s="7"/>
      <c r="AA10" s="7"/>
    </row>
    <row r="11">
      <c r="A11" s="43">
        <v>10.0</v>
      </c>
      <c r="B11" s="44" t="str">
        <f t="shared" si="1"/>
        <v>Olimpo (BB)</v>
      </c>
      <c r="C11" s="45" t="str">
        <f t="shared" si="2"/>
        <v>Boca Unidos</v>
      </c>
      <c r="D11" s="43">
        <v>17.0</v>
      </c>
      <c r="E11" s="6"/>
      <c r="F11" s="6"/>
      <c r="G11" s="6"/>
      <c r="H11" s="6"/>
      <c r="I11" s="6"/>
      <c r="J11" s="6"/>
      <c r="K11" s="6"/>
      <c r="L11" s="39"/>
      <c r="M11" s="39"/>
      <c r="N11" s="39"/>
      <c r="O11" s="39"/>
      <c r="R11" s="6"/>
      <c r="S11" s="6"/>
      <c r="T11" s="7"/>
      <c r="U11" s="7"/>
      <c r="V11" s="18"/>
      <c r="W11" s="7"/>
      <c r="X11" s="7"/>
      <c r="Y11" s="7"/>
      <c r="Z11" s="7"/>
      <c r="AA11" s="7"/>
    </row>
    <row r="12">
      <c r="A12" s="46">
        <v>11.0</v>
      </c>
      <c r="B12" s="44" t="str">
        <f t="shared" si="1"/>
        <v>9 de Julio (R)</v>
      </c>
      <c r="C12" s="45" t="str">
        <f t="shared" si="2"/>
        <v>Douglas Haig</v>
      </c>
      <c r="D12" s="46">
        <v>16.0</v>
      </c>
      <c r="E12" s="7"/>
      <c r="K12" s="6"/>
      <c r="L12" s="39"/>
      <c r="M12" s="39"/>
      <c r="N12" s="39"/>
      <c r="O12" s="39"/>
      <c r="P12" s="6"/>
      <c r="R12" s="6"/>
      <c r="S12" s="6"/>
      <c r="T12" s="7"/>
      <c r="U12" s="7"/>
      <c r="V12" s="18"/>
      <c r="W12" s="7"/>
      <c r="X12" s="7"/>
      <c r="Y12" s="7"/>
      <c r="Z12" s="7"/>
      <c r="AA12" s="7"/>
    </row>
    <row r="13">
      <c r="A13" s="46">
        <v>12.0</v>
      </c>
      <c r="B13" s="44" t="str">
        <f t="shared" si="1"/>
        <v>Camioneros</v>
      </c>
      <c r="C13" s="45" t="str">
        <f t="shared" si="2"/>
        <v>Dep. Rincón</v>
      </c>
      <c r="D13" s="46">
        <v>15.0</v>
      </c>
      <c r="E13" s="7"/>
      <c r="F13" s="47" t="s">
        <v>25</v>
      </c>
      <c r="K13" s="6"/>
      <c r="L13" s="39"/>
      <c r="M13" s="39"/>
      <c r="N13" s="39"/>
      <c r="O13" s="39"/>
      <c r="P13" s="6"/>
      <c r="R13" s="6"/>
      <c r="S13" s="6"/>
      <c r="T13" s="7"/>
      <c r="U13" s="7"/>
      <c r="V13" s="7"/>
      <c r="W13" s="7"/>
      <c r="X13" s="7"/>
      <c r="Y13" s="7"/>
      <c r="Z13" s="7"/>
      <c r="AA13" s="7"/>
    </row>
    <row r="14">
      <c r="A14" s="46">
        <v>13.0</v>
      </c>
      <c r="B14" s="44" t="str">
        <f t="shared" si="1"/>
        <v>Germinal (R)</v>
      </c>
      <c r="C14" s="45" t="str">
        <f t="shared" si="2"/>
        <v>Def. de Belgrano (VR)</v>
      </c>
      <c r="D14" s="46">
        <v>14.0</v>
      </c>
      <c r="E14" s="7"/>
      <c r="K14" s="6"/>
      <c r="L14" s="39"/>
      <c r="M14" s="39"/>
      <c r="N14" s="39"/>
      <c r="O14" s="39"/>
      <c r="P14" s="6"/>
      <c r="R14" s="6"/>
      <c r="S14" s="6"/>
      <c r="T14" s="7"/>
      <c r="U14" s="7"/>
      <c r="V14" s="7"/>
      <c r="W14" s="7"/>
      <c r="X14" s="7"/>
      <c r="Y14" s="7"/>
      <c r="Z14" s="7"/>
      <c r="AA14" s="7"/>
    </row>
    <row r="15">
      <c r="K15" s="6"/>
      <c r="P15" s="6"/>
      <c r="Q15" s="6"/>
      <c r="R15" s="6"/>
      <c r="S15" s="6"/>
      <c r="T15" s="7"/>
      <c r="U15" s="7"/>
      <c r="V15" s="7"/>
      <c r="W15" s="7"/>
      <c r="X15" s="7"/>
      <c r="Y15" s="7"/>
      <c r="Z15" s="7"/>
      <c r="AA15" s="7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6"/>
      <c r="L16" s="6"/>
      <c r="M16" s="6"/>
      <c r="N16" s="6"/>
      <c r="O16" s="6"/>
      <c r="P16" s="6"/>
      <c r="Q16" s="6"/>
      <c r="R16" s="6"/>
      <c r="S16" s="6"/>
      <c r="T16" s="7"/>
      <c r="U16" s="7"/>
      <c r="V16" s="7"/>
      <c r="W16" s="7"/>
      <c r="X16" s="7"/>
      <c r="Y16" s="7"/>
      <c r="Z16" s="7"/>
      <c r="AA16" s="7"/>
    </row>
    <row r="17">
      <c r="A17" s="48" t="s">
        <v>62</v>
      </c>
      <c r="B17" s="23"/>
      <c r="C17" s="23"/>
      <c r="D17" s="23"/>
      <c r="E17" s="23"/>
      <c r="F17" s="23"/>
      <c r="G17" s="23"/>
      <c r="H17" s="23"/>
      <c r="I17" s="23"/>
      <c r="J17" s="24"/>
      <c r="K17" s="6"/>
      <c r="L17" s="6"/>
      <c r="M17" s="6"/>
      <c r="N17" s="6"/>
      <c r="O17" s="6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</row>
    <row r="18">
      <c r="A18" s="8" t="s">
        <v>5</v>
      </c>
      <c r="B18" s="10" t="s">
        <v>27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0" t="s">
        <v>14</v>
      </c>
      <c r="K18" s="6"/>
      <c r="L18" s="6"/>
      <c r="M18" s="6"/>
      <c r="N18" s="6"/>
      <c r="O18" s="6"/>
      <c r="P18" s="6"/>
      <c r="Q18" s="6"/>
      <c r="R18" s="6"/>
      <c r="S18" s="6"/>
      <c r="T18" s="7"/>
      <c r="U18" s="7"/>
      <c r="V18" s="7"/>
      <c r="W18" s="7"/>
      <c r="X18" s="7"/>
      <c r="Y18" s="7"/>
      <c r="Z18" s="7"/>
      <c r="AA18" s="7"/>
    </row>
    <row r="19">
      <c r="A19" s="11">
        <v>3.0</v>
      </c>
      <c r="B19" s="25" t="str">
        <f t="array" ref="B19">INDEX('Nonagonal A'!B$25:B$33,MATCH($A19,'Nonagonal A'!$L$25:$L$33,0))</f>
        <v>Argentino (MM)</v>
      </c>
      <c r="C19" s="25">
        <f t="array" ref="C19">INDEX('Nonagonal A'!C$25:C$33,MATCH($A19,'Nonagonal A'!$L$25:$L$33,0))</f>
        <v>12</v>
      </c>
      <c r="D19" s="25">
        <f t="array" ref="D19">INDEX('Nonagonal A'!D$25:D$33,MATCH($A19,'Nonagonal A'!$L$25:$L$33,0))</f>
        <v>7</v>
      </c>
      <c r="E19" s="25">
        <f t="array" ref="E19">INDEX('Nonagonal A'!E$25:E$33,MATCH($A19,'Nonagonal A'!$L$25:$L$33,0))</f>
        <v>4</v>
      </c>
      <c r="F19" s="25">
        <f t="array" ref="F19">INDEX('Nonagonal A'!F$25:F$33,MATCH($A19,'Nonagonal A'!$L$25:$L$33,0))</f>
        <v>0</v>
      </c>
      <c r="G19" s="25">
        <f t="array" ref="G19">INDEX('Nonagonal A'!G$25:G$33,MATCH($A19,'Nonagonal A'!$L$25:$L$33,0))</f>
        <v>3</v>
      </c>
      <c r="H19" s="25">
        <f t="array" ref="H19">INDEX('Nonagonal A'!H$25:H$33,MATCH($A19,'Nonagonal A'!$L$25:$L$33,0))</f>
        <v>13</v>
      </c>
      <c r="I19" s="25">
        <f t="array" ref="I19">INDEX('Nonagonal A'!I$25:I$33,MATCH($A19,'Nonagonal A'!$L$25:$L$33,0))</f>
        <v>10</v>
      </c>
      <c r="J19" s="31">
        <f t="shared" ref="J19:J25" si="3">H19-I19</f>
        <v>3</v>
      </c>
      <c r="K19" s="49">
        <f t="shared" ref="K19:K25" si="4">C19*100+J19+(H19/10)+(I19/100)+ROW()/1000</f>
        <v>1204.419</v>
      </c>
      <c r="L19" s="6">
        <f>IF(K19&gt;K29,1,2)</f>
        <v>2</v>
      </c>
      <c r="M19" s="6"/>
      <c r="N19" s="6"/>
      <c r="P19" s="6"/>
      <c r="Q19" s="6"/>
      <c r="R19" s="6"/>
      <c r="S19" s="6"/>
      <c r="T19" s="7"/>
      <c r="U19" s="7"/>
      <c r="V19" s="7"/>
      <c r="W19" s="7"/>
      <c r="X19" s="7"/>
      <c r="Y19" s="7"/>
      <c r="Z19" s="7"/>
      <c r="AA19" s="7"/>
    </row>
    <row r="20">
      <c r="A20" s="28">
        <v>4.0</v>
      </c>
      <c r="B20" s="25" t="str">
        <f t="array" ref="B20">INDEX('Nonagonal A'!B$25:B$33,MATCH($A20,'Nonagonal A'!$L$25:$L$33,0))</f>
        <v>Kimberley (MdP)</v>
      </c>
      <c r="C20" s="25">
        <f t="array" ref="C20">INDEX('Nonagonal A'!C$25:C$33,MATCH($A20,'Nonagonal A'!$L$25:$L$33,0))</f>
        <v>12</v>
      </c>
      <c r="D20" s="25">
        <f t="array" ref="D20">INDEX('Nonagonal A'!D$25:D$33,MATCH($A20,'Nonagonal A'!$L$25:$L$33,0))</f>
        <v>7</v>
      </c>
      <c r="E20" s="25">
        <f t="array" ref="E20">INDEX('Nonagonal A'!E$25:E$33,MATCH($A20,'Nonagonal A'!$L$25:$L$33,0))</f>
        <v>3</v>
      </c>
      <c r="F20" s="25">
        <f t="array" ref="F20">INDEX('Nonagonal A'!F$25:F$33,MATCH($A20,'Nonagonal A'!$L$25:$L$33,0))</f>
        <v>3</v>
      </c>
      <c r="G20" s="25">
        <f t="array" ref="G20">INDEX('Nonagonal A'!G$25:G$33,MATCH($A20,'Nonagonal A'!$L$25:$L$33,0))</f>
        <v>1</v>
      </c>
      <c r="H20" s="25">
        <f t="array" ref="H20">INDEX('Nonagonal A'!H$25:H$33,MATCH($A20,'Nonagonal A'!$L$25:$L$33,0))</f>
        <v>9</v>
      </c>
      <c r="I20" s="25">
        <f t="array" ref="I20">INDEX('Nonagonal A'!I$25:I$33,MATCH($A20,'Nonagonal A'!$L$25:$L$33,0))</f>
        <v>6</v>
      </c>
      <c r="J20" s="31">
        <f t="shared" si="3"/>
        <v>3</v>
      </c>
      <c r="K20" s="49">
        <f t="shared" si="4"/>
        <v>1203.98</v>
      </c>
      <c r="L20" s="6">
        <f>IF(K20&gt;K30,3,4)</f>
        <v>3</v>
      </c>
      <c r="M20" s="6"/>
      <c r="N20" s="6"/>
      <c r="P20" s="6"/>
      <c r="Q20" s="6"/>
      <c r="R20" s="6"/>
      <c r="S20" s="6"/>
      <c r="T20" s="7"/>
      <c r="U20" s="7"/>
      <c r="V20" s="7"/>
      <c r="W20" s="7"/>
      <c r="X20" s="7"/>
      <c r="Y20" s="7"/>
      <c r="Z20" s="7"/>
      <c r="AA20" s="7"/>
    </row>
    <row r="21">
      <c r="A21" s="28">
        <v>5.0</v>
      </c>
      <c r="B21" s="25" t="str">
        <f t="array" ref="B21">INDEX('Nonagonal A'!B$25:B$33,MATCH($A21,'Nonagonal A'!$L$25:$L$33,0))</f>
        <v>Santamarina</v>
      </c>
      <c r="C21" s="25">
        <f t="array" ref="C21">INDEX('Nonagonal A'!C$25:C$33,MATCH($A21,'Nonagonal A'!$L$25:$L$33,0))</f>
        <v>11</v>
      </c>
      <c r="D21" s="25">
        <f t="array" ref="D21">INDEX('Nonagonal A'!D$25:D$33,MATCH($A21,'Nonagonal A'!$L$25:$L$33,0))</f>
        <v>7</v>
      </c>
      <c r="E21" s="25">
        <f t="array" ref="E21">INDEX('Nonagonal A'!E$25:E$33,MATCH($A21,'Nonagonal A'!$L$25:$L$33,0))</f>
        <v>3</v>
      </c>
      <c r="F21" s="25">
        <f t="array" ref="F21">INDEX('Nonagonal A'!F$25:F$33,MATCH($A21,'Nonagonal A'!$L$25:$L$33,0))</f>
        <v>2</v>
      </c>
      <c r="G21" s="25">
        <f t="array" ref="G21">INDEX('Nonagonal A'!G$25:G$33,MATCH($A21,'Nonagonal A'!$L$25:$L$33,0))</f>
        <v>2</v>
      </c>
      <c r="H21" s="25">
        <f t="array" ref="H21">INDEX('Nonagonal A'!H$25:H$33,MATCH($A21,'Nonagonal A'!$L$25:$L$33,0))</f>
        <v>10</v>
      </c>
      <c r="I21" s="25">
        <f t="array" ref="I21">INDEX('Nonagonal A'!I$25:I$33,MATCH($A21,'Nonagonal A'!$L$25:$L$33,0))</f>
        <v>6</v>
      </c>
      <c r="J21" s="31">
        <f t="shared" si="3"/>
        <v>4</v>
      </c>
      <c r="K21" s="49">
        <f t="shared" si="4"/>
        <v>1105.081</v>
      </c>
      <c r="L21" s="6">
        <f>IF(K21&gt;K31,5,6)</f>
        <v>5</v>
      </c>
      <c r="M21" s="6"/>
      <c r="N21" s="6"/>
      <c r="P21" s="6"/>
      <c r="Q21" s="6"/>
      <c r="R21" s="6"/>
      <c r="S21" s="6"/>
      <c r="T21" s="7"/>
      <c r="U21" s="7"/>
      <c r="V21" s="7"/>
      <c r="W21" s="7"/>
      <c r="X21" s="7"/>
      <c r="Y21" s="7"/>
      <c r="Z21" s="7"/>
      <c r="AA21" s="7"/>
    </row>
    <row r="22">
      <c r="A22" s="28">
        <v>6.0</v>
      </c>
      <c r="B22" s="25" t="str">
        <f t="array" ref="B22">INDEX('Nonagonal A'!B$25:B$33,MATCH($A22,'Nonagonal A'!$L$25:$L$33,0))</f>
        <v>Gutiérrez (M)</v>
      </c>
      <c r="C22" s="25">
        <f t="array" ref="C22">INDEX('Nonagonal A'!C$25:C$33,MATCH($A22,'Nonagonal A'!$L$25:$L$33,0))</f>
        <v>8</v>
      </c>
      <c r="D22" s="25">
        <f t="array" ref="D22">INDEX('Nonagonal A'!D$25:D$33,MATCH($A22,'Nonagonal A'!$L$25:$L$33,0))</f>
        <v>7</v>
      </c>
      <c r="E22" s="25">
        <f t="array" ref="E22">INDEX('Nonagonal A'!E$25:E$33,MATCH($A22,'Nonagonal A'!$L$25:$L$33,0))</f>
        <v>1</v>
      </c>
      <c r="F22" s="25">
        <f t="array" ref="F22">INDEX('Nonagonal A'!F$25:F$33,MATCH($A22,'Nonagonal A'!$L$25:$L$33,0))</f>
        <v>5</v>
      </c>
      <c r="G22" s="25">
        <f t="array" ref="G22">INDEX('Nonagonal A'!G$25:G$33,MATCH($A22,'Nonagonal A'!$L$25:$L$33,0))</f>
        <v>1</v>
      </c>
      <c r="H22" s="25">
        <f t="array" ref="H22">INDEX('Nonagonal A'!H$25:H$33,MATCH($A22,'Nonagonal A'!$L$25:$L$33,0))</f>
        <v>7</v>
      </c>
      <c r="I22" s="25">
        <f t="array" ref="I22">INDEX('Nonagonal A'!I$25:I$33,MATCH($A22,'Nonagonal A'!$L$25:$L$33,0))</f>
        <v>10</v>
      </c>
      <c r="J22" s="31">
        <f t="shared" si="3"/>
        <v>-3</v>
      </c>
      <c r="K22" s="49">
        <f t="shared" si="4"/>
        <v>797.822</v>
      </c>
      <c r="L22" s="6">
        <f>IF(K22&gt;K32,7,8)</f>
        <v>8</v>
      </c>
      <c r="M22" s="6"/>
      <c r="N22" s="6"/>
      <c r="P22" s="6"/>
      <c r="Q22" s="6"/>
      <c r="R22" s="6"/>
      <c r="S22" s="6"/>
      <c r="T22" s="7"/>
      <c r="U22" s="7"/>
      <c r="V22" s="7"/>
      <c r="W22" s="7"/>
      <c r="X22" s="7"/>
      <c r="Y22" s="7"/>
      <c r="Z22" s="7"/>
      <c r="AA22" s="7"/>
    </row>
    <row r="23">
      <c r="A23" s="28">
        <v>7.0</v>
      </c>
      <c r="B23" s="25" t="str">
        <f t="array" ref="B23">INDEX('Nonagonal A'!B$25:B$33,MATCH($A23,'Nonagonal A'!$L$25:$L$33,0))</f>
        <v>Olimpo (BB)</v>
      </c>
      <c r="C23" s="25">
        <f t="array" ref="C23">INDEX('Nonagonal A'!C$25:C$33,MATCH($A23,'Nonagonal A'!$L$25:$L$33,0))</f>
        <v>5</v>
      </c>
      <c r="D23" s="25">
        <f t="array" ref="D23">INDEX('Nonagonal A'!D$25:D$33,MATCH($A23,'Nonagonal A'!$L$25:$L$33,0))</f>
        <v>7</v>
      </c>
      <c r="E23" s="25">
        <f t="array" ref="E23">INDEX('Nonagonal A'!E$25:E$33,MATCH($A23,'Nonagonal A'!$L$25:$L$33,0))</f>
        <v>1</v>
      </c>
      <c r="F23" s="25">
        <f t="array" ref="F23">INDEX('Nonagonal A'!F$25:F$33,MATCH($A23,'Nonagonal A'!$L$25:$L$33,0))</f>
        <v>2</v>
      </c>
      <c r="G23" s="25">
        <f t="array" ref="G23">INDEX('Nonagonal A'!G$25:G$33,MATCH($A23,'Nonagonal A'!$L$25:$L$33,0))</f>
        <v>4</v>
      </c>
      <c r="H23" s="25">
        <f t="array" ref="H23">INDEX('Nonagonal A'!H$25:H$33,MATCH($A23,'Nonagonal A'!$L$25:$L$33,0))</f>
        <v>4</v>
      </c>
      <c r="I23" s="25">
        <f t="array" ref="I23">INDEX('Nonagonal A'!I$25:I$33,MATCH($A23,'Nonagonal A'!$L$25:$L$33,0))</f>
        <v>7</v>
      </c>
      <c r="J23" s="31">
        <f t="shared" si="3"/>
        <v>-3</v>
      </c>
      <c r="K23" s="49">
        <f t="shared" si="4"/>
        <v>497.493</v>
      </c>
      <c r="L23" s="6">
        <f>IF(K23&gt;K33,9,10)</f>
        <v>10</v>
      </c>
      <c r="M23" s="6"/>
      <c r="N23" s="6"/>
      <c r="P23" s="6"/>
      <c r="Q23" s="6"/>
      <c r="R23" s="6"/>
      <c r="S23" s="6"/>
      <c r="T23" s="7"/>
      <c r="U23" s="7"/>
      <c r="V23" s="7"/>
      <c r="W23" s="7"/>
      <c r="X23" s="7"/>
      <c r="Y23" s="7"/>
      <c r="Z23" s="7"/>
      <c r="AA23" s="7"/>
    </row>
    <row r="24">
      <c r="A24" s="28">
        <v>8.0</v>
      </c>
      <c r="B24" s="25" t="str">
        <f t="array" ref="B24">INDEX('Nonagonal A'!B$25:B$33,MATCH($A24,'Nonagonal A'!$L$25:$L$33,0))</f>
        <v>Camioneros</v>
      </c>
      <c r="C24" s="25">
        <f t="array" ref="C24">INDEX('Nonagonal A'!C$25:C$33,MATCH($A24,'Nonagonal A'!$L$25:$L$33,0))</f>
        <v>5</v>
      </c>
      <c r="D24" s="25">
        <f t="array" ref="D24">INDEX('Nonagonal A'!D$25:D$33,MATCH($A24,'Nonagonal A'!$L$25:$L$33,0))</f>
        <v>7</v>
      </c>
      <c r="E24" s="25">
        <f t="array" ref="E24">INDEX('Nonagonal A'!E$25:E$33,MATCH($A24,'Nonagonal A'!$L$25:$L$33,0))</f>
        <v>1</v>
      </c>
      <c r="F24" s="25">
        <f t="array" ref="F24">INDEX('Nonagonal A'!F$25:F$33,MATCH($A24,'Nonagonal A'!$L$25:$L$33,0))</f>
        <v>2</v>
      </c>
      <c r="G24" s="25">
        <f t="array" ref="G24">INDEX('Nonagonal A'!G$25:G$33,MATCH($A24,'Nonagonal A'!$L$25:$L$33,0))</f>
        <v>4</v>
      </c>
      <c r="H24" s="25">
        <f t="array" ref="H24">INDEX('Nonagonal A'!H$25:H$33,MATCH($A24,'Nonagonal A'!$L$25:$L$33,0))</f>
        <v>4</v>
      </c>
      <c r="I24" s="25">
        <f t="array" ref="I24">INDEX('Nonagonal A'!I$25:I$33,MATCH($A24,'Nonagonal A'!$L$25:$L$33,0))</f>
        <v>9</v>
      </c>
      <c r="J24" s="31">
        <f t="shared" si="3"/>
        <v>-5</v>
      </c>
      <c r="K24" s="49">
        <f t="shared" si="4"/>
        <v>495.514</v>
      </c>
      <c r="L24" s="6">
        <f>IF(K24&gt;K34,11,12)</f>
        <v>12</v>
      </c>
      <c r="M24" s="6"/>
      <c r="N24" s="6"/>
      <c r="P24" s="6"/>
      <c r="Q24" s="6"/>
      <c r="R24" s="6"/>
      <c r="S24" s="6"/>
      <c r="T24" s="7"/>
      <c r="U24" s="7"/>
      <c r="V24" s="7"/>
      <c r="W24" s="7"/>
      <c r="X24" s="7"/>
      <c r="Y24" s="7"/>
      <c r="Z24" s="7"/>
      <c r="AA24" s="7"/>
    </row>
    <row r="25">
      <c r="A25" s="28">
        <v>9.0</v>
      </c>
      <c r="B25" s="25" t="str">
        <f t="array" ref="B25">INDEX('Nonagonal A'!B$25:B$33,MATCH($A25,'Nonagonal A'!$L$25:$L$33,0))</f>
        <v>Germinal (R)</v>
      </c>
      <c r="C25" s="25">
        <f t="array" ref="C25">INDEX('Nonagonal A'!C$25:C$33,MATCH($A25,'Nonagonal A'!$L$25:$L$33,0))</f>
        <v>4</v>
      </c>
      <c r="D25" s="25">
        <f t="array" ref="D25">INDEX('Nonagonal A'!D$25:D$33,MATCH($A25,'Nonagonal A'!$L$25:$L$33,0))</f>
        <v>7</v>
      </c>
      <c r="E25" s="25">
        <f t="array" ref="E25">INDEX('Nonagonal A'!E$25:E$33,MATCH($A25,'Nonagonal A'!$L$25:$L$33,0))</f>
        <v>1</v>
      </c>
      <c r="F25" s="25">
        <f t="array" ref="F25">INDEX('Nonagonal A'!F$25:F$33,MATCH($A25,'Nonagonal A'!$L$25:$L$33,0))</f>
        <v>1</v>
      </c>
      <c r="G25" s="25">
        <f t="array" ref="G25">INDEX('Nonagonal A'!G$25:G$33,MATCH($A25,'Nonagonal A'!$L$25:$L$33,0))</f>
        <v>5</v>
      </c>
      <c r="H25" s="25">
        <f t="array" ref="H25">INDEX('Nonagonal A'!H$25:H$33,MATCH($A25,'Nonagonal A'!$L$25:$L$33,0))</f>
        <v>5</v>
      </c>
      <c r="I25" s="25">
        <f t="array" ref="I25">INDEX('Nonagonal A'!I$25:I$33,MATCH($A25,'Nonagonal A'!$L$25:$L$33,0))</f>
        <v>8</v>
      </c>
      <c r="J25" s="31">
        <f t="shared" si="3"/>
        <v>-3</v>
      </c>
      <c r="K25" s="49">
        <f t="shared" si="4"/>
        <v>397.605</v>
      </c>
      <c r="L25" s="6">
        <f>IF(K25&gt;K35,13,14)</f>
        <v>13</v>
      </c>
      <c r="M25" s="7"/>
      <c r="N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50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>
      <c r="A27" s="33" t="s">
        <v>63</v>
      </c>
      <c r="B27" s="2"/>
      <c r="C27" s="2"/>
      <c r="D27" s="2"/>
      <c r="E27" s="2"/>
      <c r="F27" s="2"/>
      <c r="G27" s="2"/>
      <c r="H27" s="2"/>
      <c r="I27" s="2"/>
      <c r="J27" s="3"/>
      <c r="K27" s="49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>
      <c r="A28" s="8" t="s">
        <v>5</v>
      </c>
      <c r="B28" s="10" t="s">
        <v>27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0" t="s">
        <v>14</v>
      </c>
      <c r="K28" s="49"/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>
      <c r="A29" s="11">
        <v>3.0</v>
      </c>
      <c r="B29" s="25" t="str">
        <f t="array" ref="B29">INDEX('Nonagonal B'!B$25:B$33,MATCH($A29,'Nonagonal B'!$L$25:$L$33,0))</f>
        <v>Sp. Belgrano (SF)</v>
      </c>
      <c r="C29" s="25">
        <f t="array" ref="C29">INDEX('Nonagonal B'!C$25:C$33,MATCH($A29,'Nonagonal B'!$L$25:$L$33,0))</f>
        <v>13</v>
      </c>
      <c r="D29" s="25">
        <f t="array" ref="D29">INDEX('Nonagonal B'!D$25:D$33,MATCH($A29,'Nonagonal B'!$L$25:$L$33,0))</f>
        <v>7</v>
      </c>
      <c r="E29" s="25">
        <f t="array" ref="E29">INDEX('Nonagonal B'!E$25:E$33,MATCH($A29,'Nonagonal B'!$L$25:$L$33,0))</f>
        <v>4</v>
      </c>
      <c r="F29" s="25">
        <f t="array" ref="F29">INDEX('Nonagonal B'!F$25:F$33,MATCH($A29,'Nonagonal B'!$L$25:$L$33,0))</f>
        <v>1</v>
      </c>
      <c r="G29" s="25">
        <f t="array" ref="G29">INDEX('Nonagonal B'!G$25:G$33,MATCH($A29,'Nonagonal B'!$L$25:$L$33,0))</f>
        <v>2</v>
      </c>
      <c r="H29" s="25">
        <f t="array" ref="H29">INDEX('Nonagonal B'!H$25:H$33,MATCH($A29,'Nonagonal B'!$L$25:$L$33,0))</f>
        <v>7</v>
      </c>
      <c r="I29" s="25">
        <f t="array" ref="I29">INDEX('Nonagonal B'!I$25:I$33,MATCH($A29,'Nonagonal B'!$L$25:$L$33,0))</f>
        <v>5</v>
      </c>
      <c r="J29" s="25">
        <f t="shared" ref="J29:J35" si="5">H29-I29</f>
        <v>2</v>
      </c>
      <c r="K29" s="49">
        <f t="shared" ref="K29:K35" si="6">C29*100+J29+(H29/10)+(I29/100)+ROW()/1000</f>
        <v>1302.779</v>
      </c>
      <c r="L29" s="6">
        <f>IF(K29&gt;K19,1,2)</f>
        <v>1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>
      <c r="A30" s="28">
        <v>4.0</v>
      </c>
      <c r="B30" s="25" t="str">
        <f t="array" ref="B30">INDEX('Nonagonal B'!B$25:B$33,MATCH($A30,'Nonagonal B'!$L$25:$L$33,0))</f>
        <v>San Martín (F)</v>
      </c>
      <c r="C30" s="25">
        <f t="array" ref="C30">INDEX('Nonagonal B'!C$25:C$33,MATCH($A30,'Nonagonal B'!$L$25:$L$33,0))</f>
        <v>12</v>
      </c>
      <c r="D30" s="25">
        <f t="array" ref="D30">INDEX('Nonagonal B'!D$25:D$33,MATCH($A30,'Nonagonal B'!$L$25:$L$33,0))</f>
        <v>7</v>
      </c>
      <c r="E30" s="25">
        <f t="array" ref="E30">INDEX('Nonagonal B'!E$25:E$33,MATCH($A30,'Nonagonal B'!$L$25:$L$33,0))</f>
        <v>3</v>
      </c>
      <c r="F30" s="25">
        <f t="array" ref="F30">INDEX('Nonagonal B'!F$25:F$33,MATCH($A30,'Nonagonal B'!$L$25:$L$33,0))</f>
        <v>3</v>
      </c>
      <c r="G30" s="25">
        <f t="array" ref="G30">INDEX('Nonagonal B'!G$25:G$33,MATCH($A30,'Nonagonal B'!$L$25:$L$33,0))</f>
        <v>1</v>
      </c>
      <c r="H30" s="25">
        <f t="array" ref="H30">INDEX('Nonagonal B'!H$25:H$33,MATCH($A30,'Nonagonal B'!$L$25:$L$33,0))</f>
        <v>6</v>
      </c>
      <c r="I30" s="25">
        <f t="array" ref="I30">INDEX('Nonagonal B'!I$25:I$33,MATCH($A30,'Nonagonal B'!$L$25:$L$33,0))</f>
        <v>4</v>
      </c>
      <c r="J30" s="25">
        <f t="shared" si="5"/>
        <v>2</v>
      </c>
      <c r="K30" s="49">
        <f t="shared" si="6"/>
        <v>1202.67</v>
      </c>
      <c r="L30" s="6">
        <f>IF(K30&gt;K20,3,4)</f>
        <v>4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>
      <c r="A31" s="28">
        <v>5.0</v>
      </c>
      <c r="B31" s="25" t="str">
        <f t="array" ref="B31">INDEX('Nonagonal B'!B$25:B$33,MATCH($A31,'Nonagonal B'!$L$25:$L$33,0))</f>
        <v>Sp. Las Parejas</v>
      </c>
      <c r="C31" s="25">
        <f t="array" ref="C31">INDEX('Nonagonal B'!C$25:C$33,MATCH($A31,'Nonagonal B'!$L$25:$L$33,0))</f>
        <v>9</v>
      </c>
      <c r="D31" s="25">
        <f t="array" ref="D31">INDEX('Nonagonal B'!D$25:D$33,MATCH($A31,'Nonagonal B'!$L$25:$L$33,0))</f>
        <v>7</v>
      </c>
      <c r="E31" s="25">
        <f t="array" ref="E31">INDEX('Nonagonal B'!E$25:E$33,MATCH($A31,'Nonagonal B'!$L$25:$L$33,0))</f>
        <v>3</v>
      </c>
      <c r="F31" s="25">
        <f t="array" ref="F31">INDEX('Nonagonal B'!F$25:F$33,MATCH($A31,'Nonagonal B'!$L$25:$L$33,0))</f>
        <v>0</v>
      </c>
      <c r="G31" s="25">
        <f t="array" ref="G31">INDEX('Nonagonal B'!G$25:G$33,MATCH($A31,'Nonagonal B'!$L$25:$L$33,0))</f>
        <v>4</v>
      </c>
      <c r="H31" s="25">
        <f t="array" ref="H31">INDEX('Nonagonal B'!H$25:H$33,MATCH($A31,'Nonagonal B'!$L$25:$L$33,0))</f>
        <v>6</v>
      </c>
      <c r="I31" s="25">
        <f t="array" ref="I31">INDEX('Nonagonal B'!I$25:I$33,MATCH($A31,'Nonagonal B'!$L$25:$L$33,0))</f>
        <v>9</v>
      </c>
      <c r="J31" s="25">
        <f t="shared" si="5"/>
        <v>-3</v>
      </c>
      <c r="K31" s="49">
        <f t="shared" si="6"/>
        <v>897.721</v>
      </c>
      <c r="L31" s="6">
        <f>IF(K31&gt;K21,5,6)</f>
        <v>6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>
      <c r="A32" s="28">
        <v>6.0</v>
      </c>
      <c r="B32" s="25" t="str">
        <f t="array" ref="B32">INDEX('Nonagonal B'!B$25:B$33,MATCH($A32,'Nonagonal B'!$L$25:$L$33,0))</f>
        <v>Sol de América (F)</v>
      </c>
      <c r="C32" s="25">
        <f t="array" ref="C32">INDEX('Nonagonal B'!C$25:C$33,MATCH($A32,'Nonagonal B'!$L$25:$L$33,0))</f>
        <v>8</v>
      </c>
      <c r="D32" s="25">
        <f t="array" ref="D32">INDEX('Nonagonal B'!D$25:D$33,MATCH($A32,'Nonagonal B'!$L$25:$L$33,0))</f>
        <v>7</v>
      </c>
      <c r="E32" s="25">
        <f t="array" ref="E32">INDEX('Nonagonal B'!E$25:E$33,MATCH($A32,'Nonagonal B'!$L$25:$L$33,0))</f>
        <v>2</v>
      </c>
      <c r="F32" s="25">
        <f t="array" ref="F32">INDEX('Nonagonal B'!F$25:F$33,MATCH($A32,'Nonagonal B'!$L$25:$L$33,0))</f>
        <v>2</v>
      </c>
      <c r="G32" s="25">
        <f t="array" ref="G32">INDEX('Nonagonal B'!G$25:G$33,MATCH($A32,'Nonagonal B'!$L$25:$L$33,0))</f>
        <v>3</v>
      </c>
      <c r="H32" s="25">
        <f t="array" ref="H32">INDEX('Nonagonal B'!H$25:H$33,MATCH($A32,'Nonagonal B'!$L$25:$L$33,0))</f>
        <v>6</v>
      </c>
      <c r="I32" s="25">
        <f t="array" ref="I32">INDEX('Nonagonal B'!I$25:I$33,MATCH($A32,'Nonagonal B'!$L$25:$L$33,0))</f>
        <v>6</v>
      </c>
      <c r="J32" s="25">
        <f t="shared" si="5"/>
        <v>0</v>
      </c>
      <c r="K32" s="49">
        <f t="shared" si="6"/>
        <v>800.692</v>
      </c>
      <c r="L32" s="6">
        <f>IF(K32&gt;K22,7,8)</f>
        <v>7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>
      <c r="A33" s="28">
        <v>7.0</v>
      </c>
      <c r="B33" s="25" t="str">
        <f t="array" ref="B33">INDEX('Nonagonal B'!B$25:B$33,MATCH($A33,'Nonagonal B'!$L$25:$L$33,0))</f>
        <v>Atenas (RC)</v>
      </c>
      <c r="C33" s="25">
        <f t="array" ref="C33">INDEX('Nonagonal B'!C$25:C$33,MATCH($A33,'Nonagonal B'!$L$25:$L$33,0))</f>
        <v>8</v>
      </c>
      <c r="D33" s="25">
        <f t="array" ref="D33">INDEX('Nonagonal B'!D$25:D$33,MATCH($A33,'Nonagonal B'!$L$25:$L$33,0))</f>
        <v>8</v>
      </c>
      <c r="E33" s="25">
        <f t="array" ref="E33">INDEX('Nonagonal B'!E$25:E$33,MATCH($A33,'Nonagonal B'!$L$25:$L$33,0))</f>
        <v>2</v>
      </c>
      <c r="F33" s="25">
        <f t="array" ref="F33">INDEX('Nonagonal B'!F$25:F$33,MATCH($A33,'Nonagonal B'!$L$25:$L$33,0))</f>
        <v>2</v>
      </c>
      <c r="G33" s="25">
        <f t="array" ref="G33">INDEX('Nonagonal B'!G$25:G$33,MATCH($A33,'Nonagonal B'!$L$25:$L$33,0))</f>
        <v>4</v>
      </c>
      <c r="H33" s="25">
        <f t="array" ref="H33">INDEX('Nonagonal B'!H$25:H$33,MATCH($A33,'Nonagonal B'!$L$25:$L$33,0))</f>
        <v>5</v>
      </c>
      <c r="I33" s="25">
        <f t="array" ref="I33">INDEX('Nonagonal B'!I$25:I$33,MATCH($A33,'Nonagonal B'!$L$25:$L$33,0))</f>
        <v>8</v>
      </c>
      <c r="J33" s="25">
        <f t="shared" si="5"/>
        <v>-3</v>
      </c>
      <c r="K33" s="49">
        <f t="shared" si="6"/>
        <v>797.613</v>
      </c>
      <c r="L33" s="6">
        <f>IF(K33&gt;K23,9,10)</f>
        <v>9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>
      <c r="A34" s="28">
        <v>8.0</v>
      </c>
      <c r="B34" s="25" t="str">
        <f t="array" ref="B34">INDEX('Nonagonal B'!B$25:B$33,MATCH($A34,'Nonagonal B'!$L$25:$L$33,0))</f>
        <v>9 de Julio (R)</v>
      </c>
      <c r="C34" s="25">
        <f t="array" ref="C34">INDEX('Nonagonal B'!C$25:C$33,MATCH($A34,'Nonagonal B'!$L$25:$L$33,0))</f>
        <v>5</v>
      </c>
      <c r="D34" s="25">
        <f t="array" ref="D34">INDEX('Nonagonal B'!D$25:D$33,MATCH($A34,'Nonagonal B'!$L$25:$L$33,0))</f>
        <v>7</v>
      </c>
      <c r="E34" s="25">
        <f t="array" ref="E34">INDEX('Nonagonal B'!E$25:E$33,MATCH($A34,'Nonagonal B'!$L$25:$L$33,0))</f>
        <v>1</v>
      </c>
      <c r="F34" s="25">
        <f t="array" ref="F34">INDEX('Nonagonal B'!F$25:F$33,MATCH($A34,'Nonagonal B'!$L$25:$L$33,0))</f>
        <v>2</v>
      </c>
      <c r="G34" s="25">
        <f t="array" ref="G34">INDEX('Nonagonal B'!G$25:G$33,MATCH($A34,'Nonagonal B'!$L$25:$L$33,0))</f>
        <v>4</v>
      </c>
      <c r="H34" s="25">
        <f t="array" ref="H34">INDEX('Nonagonal B'!H$25:H$33,MATCH($A34,'Nonagonal B'!$L$25:$L$33,0))</f>
        <v>3</v>
      </c>
      <c r="I34" s="25">
        <f t="array" ref="I34">INDEX('Nonagonal B'!I$25:I$33,MATCH($A34,'Nonagonal B'!$L$25:$L$33,0))</f>
        <v>6</v>
      </c>
      <c r="J34" s="25">
        <f t="shared" si="5"/>
        <v>-3</v>
      </c>
      <c r="K34" s="49">
        <f t="shared" si="6"/>
        <v>497.394</v>
      </c>
      <c r="L34" s="6">
        <f>IF(K34&gt;K24,11,12)</f>
        <v>11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>
      <c r="A35" s="28">
        <v>9.0</v>
      </c>
      <c r="B35" s="25" t="str">
        <f t="array" ref="B35">INDEX('Nonagonal B'!B$25:B$33,MATCH($A35,'Nonagonal B'!$L$25:$L$33,0))</f>
        <v>Def. de Belgrano (VR)</v>
      </c>
      <c r="C35" s="25">
        <f t="array" ref="C35">INDEX('Nonagonal B'!C$25:C$33,MATCH($A35,'Nonagonal B'!$L$25:$L$33,0))</f>
        <v>4</v>
      </c>
      <c r="D35" s="25">
        <f t="array" ref="D35">INDEX('Nonagonal B'!D$25:D$33,MATCH($A35,'Nonagonal B'!$L$25:$L$33,0))</f>
        <v>7</v>
      </c>
      <c r="E35" s="25">
        <f t="array" ref="E35">INDEX('Nonagonal B'!E$25:E$33,MATCH($A35,'Nonagonal B'!$L$25:$L$33,0))</f>
        <v>0</v>
      </c>
      <c r="F35" s="25">
        <f t="array" ref="F35">INDEX('Nonagonal B'!F$25:F$33,MATCH($A35,'Nonagonal B'!$L$25:$L$33,0))</f>
        <v>4</v>
      </c>
      <c r="G35" s="25">
        <f t="array" ref="G35">INDEX('Nonagonal B'!G$25:G$33,MATCH($A35,'Nonagonal B'!$L$25:$L$33,0))</f>
        <v>3</v>
      </c>
      <c r="H35" s="25">
        <f t="array" ref="H35">INDEX('Nonagonal B'!H$25:H$33,MATCH($A35,'Nonagonal B'!$L$25:$L$33,0))</f>
        <v>3</v>
      </c>
      <c r="I35" s="25">
        <f t="array" ref="I35">INDEX('Nonagonal B'!I$25:I$33,MATCH($A35,'Nonagonal B'!$L$25:$L$33,0))</f>
        <v>6</v>
      </c>
      <c r="J35" s="25">
        <f t="shared" si="5"/>
        <v>-3</v>
      </c>
      <c r="K35" s="49">
        <f t="shared" si="6"/>
        <v>397.395</v>
      </c>
      <c r="L35" s="6">
        <f>IF(K35&gt;K25,13,14)</f>
        <v>14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50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>
      <c r="A37" s="33" t="s">
        <v>64</v>
      </c>
      <c r="B37" s="2"/>
      <c r="C37" s="2"/>
      <c r="D37" s="2"/>
      <c r="E37" s="2"/>
      <c r="F37" s="2"/>
      <c r="G37" s="2"/>
      <c r="H37" s="2"/>
      <c r="I37" s="2"/>
      <c r="J37" s="3"/>
      <c r="K37" s="49"/>
      <c r="L37" s="6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>
      <c r="A38" s="8" t="s">
        <v>5</v>
      </c>
      <c r="B38" s="10" t="s">
        <v>27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0" t="s">
        <v>14</v>
      </c>
      <c r="K38" s="49"/>
      <c r="L38" s="6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>
      <c r="A39" s="11">
        <v>1.0</v>
      </c>
      <c r="B39" s="25" t="str">
        <f t="array" ref="B39">INDEX('Reválida A'!B$30:B$39,MATCH($A39,'Reválida A'!$L$30:$L$39,0))</f>
        <v>Dep. Rincón</v>
      </c>
      <c r="C39" s="25">
        <f t="array" ref="C39">INDEX('Reválida A'!C$30:C$39,MATCH($A39,'Reválida A'!$L$30:$L$39,0))</f>
        <v>19</v>
      </c>
      <c r="D39" s="25">
        <f t="array" ref="D39">INDEX('Reválida A'!D$30:D$39,MATCH($A39,'Reválida A'!$L$30:$L$39,0))</f>
        <v>8</v>
      </c>
      <c r="E39" s="25">
        <f t="array" ref="E39">INDEX('Reválida A'!E$30:E$39,MATCH($A39,'Reválida A'!$L$30:$L$39,0))</f>
        <v>6</v>
      </c>
      <c r="F39" s="25">
        <f t="array" ref="F39">INDEX('Reválida A'!F$30:F$39,MATCH($A39,'Reválida A'!$L$30:$L$39,0))</f>
        <v>1</v>
      </c>
      <c r="G39" s="25">
        <f t="array" ref="G39">INDEX('Reválida A'!G$30:G$39,MATCH($A39,'Reválida A'!$L$30:$L$39,0))</f>
        <v>1</v>
      </c>
      <c r="H39" s="25">
        <f t="array" ref="H39">INDEX('Reválida A'!H$30:H$39,MATCH($A39,'Reválida A'!$L$30:$L$39,0))</f>
        <v>9</v>
      </c>
      <c r="I39" s="25">
        <f t="array" ref="I39">INDEX('Reválida A'!I$30:I$39,MATCH($A39,'Reválida A'!$L$30:$L$39,0))</f>
        <v>1</v>
      </c>
      <c r="J39" s="25">
        <f t="shared" ref="J39:J44" si="7">H39-I39</f>
        <v>8</v>
      </c>
      <c r="K39" s="49">
        <f t="shared" ref="K39:K44" si="8">C39*100+J39+(H39/10)+(I39/100)+ROW()/1000</f>
        <v>1908.949</v>
      </c>
      <c r="L39" s="6">
        <f>IF(K39&gt;K48,15,16)</f>
        <v>15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>
      <c r="A40" s="11">
        <v>2.0</v>
      </c>
      <c r="B40" s="25" t="str">
        <f t="array" ref="B40">INDEX('Reválida A'!B$30:B$39,MATCH($A40,'Reválida A'!$L$30:$L$39,0))</f>
        <v>Estudiantes (SL)</v>
      </c>
      <c r="C40" s="25">
        <f t="array" ref="C40">INDEX('Reválida A'!C$30:C$39,MATCH($A40,'Reválida A'!$L$30:$L$39,0))</f>
        <v>15</v>
      </c>
      <c r="D40" s="25">
        <f t="array" ref="D40">INDEX('Reválida A'!D$30:D$39,MATCH($A40,'Reválida A'!$L$30:$L$39,0))</f>
        <v>8</v>
      </c>
      <c r="E40" s="25">
        <f t="array" ref="E40">INDEX('Reválida A'!E$30:E$39,MATCH($A40,'Reválida A'!$L$30:$L$39,0))</f>
        <v>4</v>
      </c>
      <c r="F40" s="25">
        <f t="array" ref="F40">INDEX('Reválida A'!F$30:F$39,MATCH($A40,'Reválida A'!$L$30:$L$39,0))</f>
        <v>3</v>
      </c>
      <c r="G40" s="25">
        <f t="array" ref="G40">INDEX('Reválida A'!G$30:G$39,MATCH($A40,'Reválida A'!$L$30:$L$39,0))</f>
        <v>1</v>
      </c>
      <c r="H40" s="25">
        <f t="array" ref="H40">INDEX('Reválida A'!H$30:H$39,MATCH($A40,'Reválida A'!$L$30:$L$39,0))</f>
        <v>10</v>
      </c>
      <c r="I40" s="25">
        <f t="array" ref="I40">INDEX('Reválida A'!I$30:I$39,MATCH($A40,'Reválida A'!$L$30:$L$39,0))</f>
        <v>8</v>
      </c>
      <c r="J40" s="25">
        <f t="shared" si="7"/>
        <v>2</v>
      </c>
      <c r="K40" s="49">
        <f t="shared" si="8"/>
        <v>1503.12</v>
      </c>
      <c r="L40" s="6">
        <f>IF(K40&gt;K49,17,18)</f>
        <v>18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>
      <c r="A41" s="28">
        <v>3.0</v>
      </c>
      <c r="B41" s="25" t="str">
        <f t="array" ref="B41">INDEX('Reválida A'!B$30:B$39,MATCH($A41,'Reválida A'!$L$30:$L$39,0))</f>
        <v>Juv. Unida (SL)</v>
      </c>
      <c r="C41" s="25">
        <f t="array" ref="C41">INDEX('Reválida A'!C$30:C$39,MATCH($A41,'Reválida A'!$L$30:$L$39,0))</f>
        <v>14</v>
      </c>
      <c r="D41" s="25">
        <f t="array" ref="D41">INDEX('Reválida A'!D$30:D$39,MATCH($A41,'Reválida A'!$L$30:$L$39,0))</f>
        <v>8</v>
      </c>
      <c r="E41" s="25">
        <f t="array" ref="E41">INDEX('Reválida A'!E$30:E$39,MATCH($A41,'Reválida A'!$L$30:$L$39,0))</f>
        <v>4</v>
      </c>
      <c r="F41" s="25">
        <f t="array" ref="F41">INDEX('Reválida A'!F$30:F$39,MATCH($A41,'Reválida A'!$L$30:$L$39,0))</f>
        <v>2</v>
      </c>
      <c r="G41" s="25">
        <f t="array" ref="G41">INDEX('Reválida A'!G$30:G$39,MATCH($A41,'Reválida A'!$L$30:$L$39,0))</f>
        <v>2</v>
      </c>
      <c r="H41" s="25">
        <f t="array" ref="H41">INDEX('Reválida A'!H$30:H$39,MATCH($A41,'Reválida A'!$L$30:$L$39,0))</f>
        <v>10</v>
      </c>
      <c r="I41" s="25">
        <f t="array" ref="I41">INDEX('Reválida A'!I$30:I$39,MATCH($A41,'Reválida A'!$L$30:$L$39,0))</f>
        <v>5</v>
      </c>
      <c r="J41" s="25">
        <f t="shared" si="7"/>
        <v>5</v>
      </c>
      <c r="K41" s="49">
        <f t="shared" si="8"/>
        <v>1406.091</v>
      </c>
      <c r="L41" s="6">
        <f>IF(K41&gt;K50,19,20)</f>
        <v>20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>
      <c r="A42" s="28">
        <v>4.0</v>
      </c>
      <c r="B42" s="25" t="str">
        <f t="array" ref="B42">INDEX('Reválida A'!B$30:B$39,MATCH($A42,'Reválida A'!$L$30:$L$39,0))</f>
        <v>Cipolletti</v>
      </c>
      <c r="C42" s="25">
        <f t="array" ref="C42">INDEX('Reválida A'!C$30:C$39,MATCH($A42,'Reválida A'!$L$30:$L$39,0))</f>
        <v>14</v>
      </c>
      <c r="D42" s="25">
        <f t="array" ref="D42">INDEX('Reválida A'!D$30:D$39,MATCH($A42,'Reválida A'!$L$30:$L$39,0))</f>
        <v>8</v>
      </c>
      <c r="E42" s="25">
        <f t="array" ref="E42">INDEX('Reválida A'!E$30:E$39,MATCH($A42,'Reválida A'!$L$30:$L$39,0))</f>
        <v>3</v>
      </c>
      <c r="F42" s="25">
        <f t="array" ref="F42">INDEX('Reválida A'!F$30:F$39,MATCH($A42,'Reválida A'!$L$30:$L$39,0))</f>
        <v>5</v>
      </c>
      <c r="G42" s="25">
        <f t="array" ref="G42">INDEX('Reválida A'!G$30:G$39,MATCH($A42,'Reválida A'!$L$30:$L$39,0))</f>
        <v>0</v>
      </c>
      <c r="H42" s="25">
        <f t="array" ref="H42">INDEX('Reválida A'!H$30:H$39,MATCH($A42,'Reválida A'!$L$30:$L$39,0))</f>
        <v>5</v>
      </c>
      <c r="I42" s="25">
        <f t="array" ref="I42">INDEX('Reválida A'!I$30:I$39,MATCH($A42,'Reválida A'!$L$30:$L$39,0))</f>
        <v>2</v>
      </c>
      <c r="J42" s="25">
        <f t="shared" si="7"/>
        <v>3</v>
      </c>
      <c r="K42" s="49">
        <f t="shared" si="8"/>
        <v>1403.562</v>
      </c>
      <c r="L42" s="6">
        <f>IF(K42&gt;K51,21,22)</f>
        <v>21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>
      <c r="A43" s="28">
        <v>5.0</v>
      </c>
      <c r="B43" s="25" t="str">
        <f t="array" ref="B43">INDEX('Reválida A'!B$30:B$39,MATCH($A43,'Reválida A'!$L$30:$L$39,0))</f>
        <v>Huracán (LH)</v>
      </c>
      <c r="C43" s="25">
        <f t="array" ref="C43">INDEX('Reválida A'!C$30:C$39,MATCH($A43,'Reválida A'!$L$30:$L$39,0))</f>
        <v>14</v>
      </c>
      <c r="D43" s="25">
        <f t="array" ref="D43">INDEX('Reválida A'!D$30:D$39,MATCH($A43,'Reválida A'!$L$30:$L$39,0))</f>
        <v>9</v>
      </c>
      <c r="E43" s="25">
        <f t="array" ref="E43">INDEX('Reválida A'!E$30:E$39,MATCH($A43,'Reválida A'!$L$30:$L$39,0))</f>
        <v>4</v>
      </c>
      <c r="F43" s="25">
        <f t="array" ref="F43">INDEX('Reválida A'!F$30:F$39,MATCH($A43,'Reválida A'!$L$30:$L$39,0))</f>
        <v>2</v>
      </c>
      <c r="G43" s="25">
        <f t="array" ref="G43">INDEX('Reválida A'!G$30:G$39,MATCH($A43,'Reválida A'!$L$30:$L$39,0))</f>
        <v>3</v>
      </c>
      <c r="H43" s="25">
        <f t="array" ref="H43">INDEX('Reválida A'!H$30:H$39,MATCH($A43,'Reválida A'!$L$30:$L$39,0))</f>
        <v>6</v>
      </c>
      <c r="I43" s="25">
        <f t="array" ref="I43">INDEX('Reválida A'!I$30:I$39,MATCH($A43,'Reválida A'!$L$30:$L$39,0))</f>
        <v>8</v>
      </c>
      <c r="J43" s="25">
        <f t="shared" si="7"/>
        <v>-2</v>
      </c>
      <c r="K43" s="49">
        <f t="shared" si="8"/>
        <v>1398.723</v>
      </c>
      <c r="L43" s="6">
        <f>IF(K43&gt;K52,23,24)</f>
        <v>23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>
      <c r="A44" s="28">
        <v>6.0</v>
      </c>
      <c r="B44" s="25" t="str">
        <f t="array" ref="B44">INDEX('Reválida A'!B$30:B$39,MATCH($A44,'Reválida A'!$L$30:$L$39,0))</f>
        <v>Ferro (GP)</v>
      </c>
      <c r="C44" s="25">
        <f t="array" ref="C44">INDEX('Reválida A'!C$30:C$39,MATCH($A44,'Reválida A'!$L$30:$L$39,0))</f>
        <v>12</v>
      </c>
      <c r="D44" s="25">
        <f t="array" ref="D44">INDEX('Reválida A'!D$30:D$39,MATCH($A44,'Reválida A'!$L$30:$L$39,0))</f>
        <v>8</v>
      </c>
      <c r="E44" s="25">
        <f t="array" ref="E44">INDEX('Reválida A'!E$30:E$39,MATCH($A44,'Reválida A'!$L$30:$L$39,0))</f>
        <v>3</v>
      </c>
      <c r="F44" s="25">
        <f t="array" ref="F44">INDEX('Reválida A'!F$30:F$39,MATCH($A44,'Reválida A'!$L$30:$L$39,0))</f>
        <v>3</v>
      </c>
      <c r="G44" s="25">
        <f t="array" ref="G44">INDEX('Reválida A'!G$30:G$39,MATCH($A44,'Reválida A'!$L$30:$L$39,0))</f>
        <v>2</v>
      </c>
      <c r="H44" s="25">
        <f t="array" ref="H44">INDEX('Reválida A'!H$30:H$39,MATCH($A44,'Reválida A'!$L$30:$L$39,0))</f>
        <v>8</v>
      </c>
      <c r="I44" s="25">
        <f t="array" ref="I44">INDEX('Reválida A'!I$30:I$39,MATCH($A44,'Reválida A'!$L$30:$L$39,0))</f>
        <v>5</v>
      </c>
      <c r="J44" s="25">
        <f t="shared" si="7"/>
        <v>3</v>
      </c>
      <c r="K44" s="49">
        <f t="shared" si="8"/>
        <v>1203.894</v>
      </c>
      <c r="L44" s="6">
        <f>IF(K44&gt;K53,25,26)</f>
        <v>25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50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>
      <c r="A46" s="33" t="s">
        <v>65</v>
      </c>
      <c r="B46" s="2"/>
      <c r="C46" s="2"/>
      <c r="D46" s="2"/>
      <c r="E46" s="2"/>
      <c r="F46" s="2"/>
      <c r="G46" s="2"/>
      <c r="H46" s="2"/>
      <c r="I46" s="2"/>
      <c r="J46" s="3"/>
      <c r="K46" s="49"/>
      <c r="L46" s="6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>
      <c r="A47" s="8" t="s">
        <v>5</v>
      </c>
      <c r="B47" s="10" t="s">
        <v>27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0" t="s">
        <v>14</v>
      </c>
      <c r="K47" s="49"/>
      <c r="L47" s="6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>
      <c r="A48" s="11">
        <v>1.0</v>
      </c>
      <c r="B48" s="25" t="str">
        <f t="array" ref="B48">INDEX('Reválida B'!B$30:B$39,MATCH($A48,'Reválida B'!$L$30:$L$39,0))</f>
        <v>Douglas Haig</v>
      </c>
      <c r="C48" s="25">
        <f t="array" ref="C48">INDEX('Reválida B'!C$30:C$39,MATCH($A48,'Reválida B'!$L$30:$L$39,0))</f>
        <v>18</v>
      </c>
      <c r="D48" s="25">
        <f t="array" ref="D48">INDEX('Reválida B'!D$30:D$39,MATCH($A48,'Reválida B'!$L$30:$L$39,0))</f>
        <v>8</v>
      </c>
      <c r="E48" s="25">
        <f t="array" ref="E48">INDEX('Reválida B'!E$30:E$39,MATCH($A48,'Reválida B'!$L$30:$L$39,0))</f>
        <v>5</v>
      </c>
      <c r="F48" s="25">
        <f t="array" ref="F48">INDEX('Reválida B'!F$30:F$39,MATCH($A48,'Reválida B'!$L$30:$L$39,0))</f>
        <v>3</v>
      </c>
      <c r="G48" s="25">
        <f t="array" ref="G48">INDEX('Reválida B'!G$30:G$39,MATCH($A48,'Reválida B'!$L$30:$L$39,0))</f>
        <v>0</v>
      </c>
      <c r="H48" s="25">
        <f t="array" ref="H48">INDEX('Reválida B'!H$30:H$39,MATCH($A48,'Reválida B'!$L$30:$L$39,0))</f>
        <v>13</v>
      </c>
      <c r="I48" s="25">
        <f t="array" ref="I48">INDEX('Reválida B'!I$30:I$39,MATCH($A48,'Reválida B'!$L$30:$L$39,0))</f>
        <v>6</v>
      </c>
      <c r="J48" s="25">
        <f t="shared" ref="J48:J53" si="9">H48-I48</f>
        <v>7</v>
      </c>
      <c r="K48" s="49">
        <f t="shared" ref="K48:K53" si="10">C48*100+J48+(H48/10)+(I48/100)+ROW()/1000</f>
        <v>1808.408</v>
      </c>
      <c r="L48" s="6">
        <f>IF(K48&gt;K39,15,16)</f>
        <v>16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>
      <c r="A49" s="28">
        <v>2.0</v>
      </c>
      <c r="B49" s="25" t="str">
        <f t="array" ref="B49">INDEX('Reválida B'!B$30:B$39,MATCH($A49,'Reválida B'!$L$30:$L$39,0))</f>
        <v>Boca Unidos</v>
      </c>
      <c r="C49" s="25">
        <f t="array" ref="C49">INDEX('Reválida B'!C$30:C$39,MATCH($A49,'Reválida B'!$L$30:$L$39,0))</f>
        <v>17</v>
      </c>
      <c r="D49" s="25">
        <f t="array" ref="D49">INDEX('Reválida B'!D$30:D$39,MATCH($A49,'Reválida B'!$L$30:$L$39,0))</f>
        <v>8</v>
      </c>
      <c r="E49" s="25">
        <f t="array" ref="E49">INDEX('Reválida B'!E$30:E$39,MATCH($A49,'Reválida B'!$L$30:$L$39,0))</f>
        <v>5</v>
      </c>
      <c r="F49" s="25">
        <f t="array" ref="F49">INDEX('Reválida B'!F$30:F$39,MATCH($A49,'Reválida B'!$L$30:$L$39,0))</f>
        <v>2</v>
      </c>
      <c r="G49" s="25">
        <f t="array" ref="G49">INDEX('Reválida B'!G$30:G$39,MATCH($A49,'Reválida B'!$L$30:$L$39,0))</f>
        <v>1</v>
      </c>
      <c r="H49" s="25">
        <f t="array" ref="H49">INDEX('Reválida B'!H$30:H$39,MATCH($A49,'Reválida B'!$L$30:$L$39,0))</f>
        <v>11</v>
      </c>
      <c r="I49" s="25">
        <f t="array" ref="I49">INDEX('Reválida B'!I$30:I$39,MATCH($A49,'Reválida B'!$L$30:$L$39,0))</f>
        <v>8</v>
      </c>
      <c r="J49" s="25">
        <f t="shared" si="9"/>
        <v>3</v>
      </c>
      <c r="K49" s="49">
        <f t="shared" si="10"/>
        <v>1704.229</v>
      </c>
      <c r="L49" s="6">
        <f>IF(K49&gt;K40,17,18)</f>
        <v>17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>
      <c r="A50" s="28">
        <v>3.0</v>
      </c>
      <c r="B50" s="25" t="str">
        <f t="array" ref="B50">INDEX('Reválida B'!B$30:B$39,MATCH($A50,'Reválida B'!$L$30:$L$39,0))</f>
        <v>Independiente (Ch)</v>
      </c>
      <c r="C50" s="25">
        <f t="array" ref="C50">INDEX('Reválida B'!C$30:C$39,MATCH($A50,'Reválida B'!$L$30:$L$39,0))</f>
        <v>15</v>
      </c>
      <c r="D50" s="25">
        <f t="array" ref="D50">INDEX('Reválida B'!D$30:D$39,MATCH($A50,'Reválida B'!$L$30:$L$39,0))</f>
        <v>8</v>
      </c>
      <c r="E50" s="25">
        <f t="array" ref="E50">INDEX('Reválida B'!E$30:E$39,MATCH($A50,'Reválida B'!$L$30:$L$39,0))</f>
        <v>4</v>
      </c>
      <c r="F50" s="25">
        <f t="array" ref="F50">INDEX('Reválida B'!F$30:F$39,MATCH($A50,'Reválida B'!$L$30:$L$39,0))</f>
        <v>3</v>
      </c>
      <c r="G50" s="25">
        <f t="array" ref="G50">INDEX('Reválida B'!G$30:G$39,MATCH($A50,'Reválida B'!$L$30:$L$39,0))</f>
        <v>1</v>
      </c>
      <c r="H50" s="25">
        <f t="array" ref="H50">INDEX('Reválida B'!H$30:H$39,MATCH($A50,'Reválida B'!$L$30:$L$39,0))</f>
        <v>16</v>
      </c>
      <c r="I50" s="25">
        <f t="array" ref="I50">INDEX('Reválida B'!I$30:I$39,MATCH($A50,'Reválida B'!$L$30:$L$39,0))</f>
        <v>9</v>
      </c>
      <c r="J50" s="25">
        <f t="shared" si="9"/>
        <v>7</v>
      </c>
      <c r="K50" s="49">
        <f t="shared" si="10"/>
        <v>1508.74</v>
      </c>
      <c r="L50" s="6">
        <f>IF(K50&gt;K41,19,20)</f>
        <v>19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>
      <c r="A51" s="28">
        <v>4.0</v>
      </c>
      <c r="B51" s="25" t="str">
        <f t="array" ref="B51">INDEX('Reválida B'!B$30:B$39,MATCH($A51,'Reválida B'!$L$30:$L$39,0))</f>
        <v>Sarmiento (R)</v>
      </c>
      <c r="C51" s="25">
        <f t="array" ref="C51">INDEX('Reválida B'!C$30:C$39,MATCH($A51,'Reválida B'!$L$30:$L$39,0))</f>
        <v>12</v>
      </c>
      <c r="D51" s="25">
        <f t="array" ref="D51">INDEX('Reválida B'!D$30:D$39,MATCH($A51,'Reválida B'!$L$30:$L$39,0))</f>
        <v>8</v>
      </c>
      <c r="E51" s="25">
        <f t="array" ref="E51">INDEX('Reválida B'!E$30:E$39,MATCH($A51,'Reválida B'!$L$30:$L$39,0))</f>
        <v>3</v>
      </c>
      <c r="F51" s="25">
        <f t="array" ref="F51">INDEX('Reválida B'!F$30:F$39,MATCH($A51,'Reválida B'!$L$30:$L$39,0))</f>
        <v>3</v>
      </c>
      <c r="G51" s="25">
        <f t="array" ref="G51">INDEX('Reválida B'!G$30:G$39,MATCH($A51,'Reválida B'!$L$30:$L$39,0))</f>
        <v>2</v>
      </c>
      <c r="H51" s="25">
        <f t="array" ref="H51">INDEX('Reválida B'!H$30:H$39,MATCH($A51,'Reválida B'!$L$30:$L$39,0))</f>
        <v>5</v>
      </c>
      <c r="I51" s="25">
        <f t="array" ref="I51">INDEX('Reválida B'!I$30:I$39,MATCH($A51,'Reválida B'!$L$30:$L$39,0))</f>
        <v>5</v>
      </c>
      <c r="J51" s="25">
        <f t="shared" si="9"/>
        <v>0</v>
      </c>
      <c r="K51" s="49">
        <f t="shared" si="10"/>
        <v>1200.601</v>
      </c>
      <c r="L51" s="6">
        <f>IF(K51&gt;K42,21,22)</f>
        <v>22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>
      <c r="A52" s="28">
        <v>5.0</v>
      </c>
      <c r="B52" s="25" t="str">
        <f t="array" ref="B52">INDEX('Reválida B'!B$30:B$39,MATCH($A52,'Reválida B'!$L$30:$L$39,0))</f>
        <v>El Linqueño</v>
      </c>
      <c r="C52" s="25">
        <f t="array" ref="C52">INDEX('Reválida B'!C$30:C$39,MATCH($A52,'Reválida B'!$L$30:$L$39,0))</f>
        <v>10</v>
      </c>
      <c r="D52" s="25">
        <f t="array" ref="D52">INDEX('Reválida B'!D$30:D$39,MATCH($A52,'Reválida B'!$L$30:$L$39,0))</f>
        <v>8</v>
      </c>
      <c r="E52" s="25">
        <f t="array" ref="E52">INDEX('Reválida B'!E$30:E$39,MATCH($A52,'Reválida B'!$L$30:$L$39,0))</f>
        <v>2</v>
      </c>
      <c r="F52" s="25">
        <f t="array" ref="F52">INDEX('Reválida B'!F$30:F$39,MATCH($A52,'Reválida B'!$L$30:$L$39,0))</f>
        <v>4</v>
      </c>
      <c r="G52" s="25">
        <f t="array" ref="G52">INDEX('Reválida B'!G$30:G$39,MATCH($A52,'Reválida B'!$L$30:$L$39,0))</f>
        <v>2</v>
      </c>
      <c r="H52" s="25">
        <f t="array" ref="H52">INDEX('Reválida B'!H$30:H$39,MATCH($A52,'Reválida B'!$L$30:$L$39,0))</f>
        <v>5</v>
      </c>
      <c r="I52" s="25">
        <f t="array" ref="I52">INDEX('Reválida B'!I$30:I$39,MATCH($A52,'Reválida B'!$L$30:$L$39,0))</f>
        <v>6</v>
      </c>
      <c r="J52" s="25">
        <f t="shared" si="9"/>
        <v>-1</v>
      </c>
      <c r="K52" s="49">
        <f t="shared" si="10"/>
        <v>999.612</v>
      </c>
      <c r="L52" s="6">
        <f>IF(K52&gt;K43,23,24)</f>
        <v>24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>
      <c r="A53" s="28">
        <v>6.0</v>
      </c>
      <c r="B53" s="25" t="str">
        <f t="array" ref="B53">INDEX('Reválida B'!B$30:B$39,MATCH($A53,'Reválida B'!$L$30:$L$39,0))</f>
        <v>Gimnasia (CdU)</v>
      </c>
      <c r="C53" s="25">
        <f t="array" ref="C53">INDEX('Reválida B'!C$30:C$39,MATCH($A53,'Reválida B'!$L$30:$L$39,0))</f>
        <v>9</v>
      </c>
      <c r="D53" s="25">
        <f t="array" ref="D53">INDEX('Reválida B'!D$30:D$39,MATCH($A53,'Reválida B'!$L$30:$L$39,0))</f>
        <v>8</v>
      </c>
      <c r="E53" s="25">
        <f t="array" ref="E53">INDEX('Reválida B'!E$30:E$39,MATCH($A53,'Reválida B'!$L$30:$L$39,0))</f>
        <v>3</v>
      </c>
      <c r="F53" s="25">
        <f t="array" ref="F53">INDEX('Reválida B'!F$30:F$39,MATCH($A53,'Reválida B'!$L$30:$L$39,0))</f>
        <v>0</v>
      </c>
      <c r="G53" s="25">
        <f t="array" ref="G53">INDEX('Reválida B'!G$30:G$39,MATCH($A53,'Reválida B'!$L$30:$L$39,0))</f>
        <v>5</v>
      </c>
      <c r="H53" s="25">
        <f t="array" ref="H53">INDEX('Reválida B'!H$30:H$39,MATCH($A53,'Reválida B'!$L$30:$L$39,0))</f>
        <v>7</v>
      </c>
      <c r="I53" s="25">
        <f t="array" ref="I53">INDEX('Reválida B'!I$30:I$39,MATCH($A53,'Reválida B'!$L$30:$L$39,0))</f>
        <v>8</v>
      </c>
      <c r="J53" s="25">
        <f t="shared" si="9"/>
        <v>-1</v>
      </c>
      <c r="K53" s="49">
        <f t="shared" si="10"/>
        <v>899.833</v>
      </c>
      <c r="L53" s="6">
        <f>IF(K53&gt;K44,25,26)</f>
        <v>26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</sheetData>
  <mergeCells count="5">
    <mergeCell ref="A1:D1"/>
    <mergeCell ref="A17:J17"/>
    <mergeCell ref="A27:J27"/>
    <mergeCell ref="A37:J37"/>
    <mergeCell ref="A46:J46"/>
  </mergeCells>
  <hyperlinks>
    <hyperlink r:id="rId1" ref="F13"/>
  </hyperlinks>
  <drawing r:id="rId2"/>
</worksheet>
</file>